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leger\Desktop\Personal\"/>
    </mc:Choice>
  </mc:AlternateContent>
  <bookViews>
    <workbookView xWindow="0" yWindow="0" windowWidth="30696" windowHeight="11856" tabRatio="893"/>
  </bookViews>
  <sheets>
    <sheet name="Table of Contents" sheetId="25" r:id="rId1"/>
    <sheet name="PV Solar Farms (S1A)" sheetId="19" r:id="rId2"/>
    <sheet name="Concentrated Solar Power (S1B)" sheetId="20" r:id="rId3"/>
    <sheet name="Direct Air Capture CO2 (S1C)" sheetId="21" r:id="rId4"/>
    <sheet name="Energy of SCP Cultivation (S1D)" sheetId="26" r:id="rId5"/>
    <sheet name="FAO Crop Yields (S1E)" sheetId="1" r:id="rId6"/>
    <sheet name="Crop Energy Efficiency (S1F)" sheetId="52" r:id="rId7"/>
    <sheet name="SCP Cost Estimation (S1G)" sheetId="51" r:id="rId8"/>
    <sheet name="Sugar Beet Cultivation (S1H)" sheetId="24" r:id="rId9"/>
  </sheets>
  <definedNames>
    <definedName name="_xlnm._FilterDatabase" localSheetId="5" hidden="1">'FAO Crop Yields (S1E)'!$B$2:$C$1024</definedName>
    <definedName name="_xlnm._FilterDatabase" localSheetId="1" hidden="1">'PV Solar Farms (S1A)'!$A$1:$N$629</definedName>
  </definedNames>
  <calcPr calcId="162913"/>
</workbook>
</file>

<file path=xl/calcChain.xml><?xml version="1.0" encoding="utf-8"?>
<calcChain xmlns="http://schemas.openxmlformats.org/spreadsheetml/2006/main">
  <c r="AD9" i="51" l="1"/>
  <c r="K6" i="21" l="1"/>
  <c r="M34" i="20"/>
  <c r="N2" i="19"/>
  <c r="R11" i="52" l="1"/>
  <c r="O11" i="52" s="1"/>
  <c r="P11" i="52"/>
  <c r="F11" i="52"/>
  <c r="G11" i="52" s="1"/>
  <c r="L11" i="52" s="1"/>
  <c r="E11" i="52"/>
  <c r="I11" i="52" s="1"/>
  <c r="R10" i="52"/>
  <c r="P10" i="52" s="1"/>
  <c r="F10" i="52"/>
  <c r="G10" i="52" s="1"/>
  <c r="L10" i="52" s="1"/>
  <c r="E10" i="52"/>
  <c r="I10" i="52" s="1"/>
  <c r="R9" i="52"/>
  <c r="O9" i="52" s="1"/>
  <c r="G9" i="52"/>
  <c r="L9" i="52" s="1"/>
  <c r="E9" i="52"/>
  <c r="I9" i="52" s="1"/>
  <c r="R8" i="52"/>
  <c r="O8" i="52" s="1"/>
  <c r="P8" i="52"/>
  <c r="F8" i="52"/>
  <c r="G8" i="52" s="1"/>
  <c r="L8" i="52" s="1"/>
  <c r="E8" i="52"/>
  <c r="I8" i="52" s="1"/>
  <c r="R7" i="52"/>
  <c r="P7" i="52" s="1"/>
  <c r="F7" i="52"/>
  <c r="G7" i="52" s="1"/>
  <c r="L7" i="52" s="1"/>
  <c r="E7" i="52"/>
  <c r="I7" i="52" s="1"/>
  <c r="R6" i="52"/>
  <c r="P6" i="52"/>
  <c r="O6" i="52"/>
  <c r="F6" i="52"/>
  <c r="G6" i="52" s="1"/>
  <c r="L6" i="52" s="1"/>
  <c r="E6" i="52"/>
  <c r="I6" i="52" s="1"/>
  <c r="R5" i="52"/>
  <c r="O5" i="52" s="1"/>
  <c r="F5" i="52"/>
  <c r="G5" i="52" s="1"/>
  <c r="L5" i="52" s="1"/>
  <c r="E5" i="52"/>
  <c r="I5" i="52" s="1"/>
  <c r="P9" i="52" l="1"/>
  <c r="P5" i="52"/>
  <c r="O7" i="52"/>
  <c r="O10" i="52"/>
  <c r="F60" i="51"/>
  <c r="F62" i="51" s="1"/>
  <c r="E60" i="51"/>
  <c r="E62" i="51" s="1"/>
  <c r="F55" i="51"/>
  <c r="F57" i="51" s="1"/>
  <c r="E55" i="51"/>
  <c r="E57" i="51" s="1"/>
  <c r="AK49" i="51"/>
  <c r="AK50" i="51" s="1"/>
  <c r="AL48" i="51"/>
  <c r="AL49" i="51" s="1"/>
  <c r="AL50" i="51" s="1"/>
  <c r="AK48" i="51"/>
  <c r="F45" i="51"/>
  <c r="F47" i="51" s="1"/>
  <c r="E45" i="51"/>
  <c r="E47" i="51" s="1"/>
  <c r="AL40" i="51"/>
  <c r="AL41" i="51" s="1"/>
  <c r="AL39" i="51"/>
  <c r="AK39" i="51"/>
  <c r="AK40" i="51" s="1"/>
  <c r="AK41" i="51" s="1"/>
  <c r="F37" i="51"/>
  <c r="E37" i="51"/>
  <c r="AL32" i="51"/>
  <c r="AL33" i="51" s="1"/>
  <c r="AL34" i="51" s="1"/>
  <c r="AK32" i="51"/>
  <c r="AK33" i="51" s="1"/>
  <c r="AK34" i="51" s="1"/>
  <c r="F28" i="51"/>
  <c r="E28" i="51"/>
  <c r="AL26" i="51"/>
  <c r="AL27" i="51" s="1"/>
  <c r="AL25" i="51"/>
  <c r="AK25" i="51"/>
  <c r="AK26" i="51" s="1"/>
  <c r="AK27" i="51" s="1"/>
  <c r="F23" i="51"/>
  <c r="E23" i="51"/>
  <c r="N17" i="51"/>
  <c r="M17" i="51"/>
  <c r="AL16" i="51"/>
  <c r="AL17" i="51" s="1"/>
  <c r="AL18" i="51" s="1"/>
  <c r="AK16" i="51"/>
  <c r="AK17" i="51" s="1"/>
  <c r="AK18" i="51" s="1"/>
  <c r="F16" i="51"/>
  <c r="F68" i="51" s="1"/>
  <c r="E16" i="51"/>
  <c r="E68" i="51" s="1"/>
  <c r="AK10" i="51"/>
  <c r="AK11" i="51" s="1"/>
  <c r="AL9" i="51"/>
  <c r="AL10" i="51" s="1"/>
  <c r="AL11" i="51" s="1"/>
  <c r="AK9" i="51"/>
  <c r="AC9" i="51"/>
  <c r="N9" i="51"/>
  <c r="M9" i="51"/>
  <c r="F6" i="51"/>
  <c r="F17" i="51" s="1"/>
  <c r="F69" i="51" s="1"/>
  <c r="E6" i="51"/>
  <c r="E17" i="51" s="1"/>
  <c r="E69" i="51" s="1"/>
  <c r="V5" i="51"/>
  <c r="V9" i="51" s="1"/>
  <c r="U5" i="51"/>
  <c r="U9" i="51" s="1"/>
  <c r="N22" i="51" l="1"/>
  <c r="N23" i="51" s="1"/>
  <c r="AD22" i="51"/>
  <c r="AD23" i="51" s="1"/>
  <c r="V22" i="51"/>
  <c r="V23" i="51" s="1"/>
  <c r="AC25" i="51"/>
  <c r="AC26" i="51" s="1"/>
  <c r="U25" i="51"/>
  <c r="U26" i="51" s="1"/>
  <c r="M25" i="51"/>
  <c r="M26" i="51" s="1"/>
  <c r="AD25" i="51"/>
  <c r="AD26" i="51" s="1"/>
  <c r="V25" i="51"/>
  <c r="V26" i="51" s="1"/>
  <c r="N25" i="51"/>
  <c r="N26" i="51" s="1"/>
  <c r="M22" i="51"/>
  <c r="M23" i="51" s="1"/>
  <c r="AC22" i="51"/>
  <c r="AC23" i="51" s="1"/>
  <c r="U22" i="51"/>
  <c r="U23" i="51" s="1"/>
  <c r="Q7" i="19" l="1"/>
  <c r="N108" i="26"/>
  <c r="M108" i="26"/>
  <c r="N105" i="26"/>
  <c r="F33" i="26" s="1"/>
  <c r="N103" i="26"/>
  <c r="M103" i="26"/>
  <c r="M105" i="26" s="1"/>
  <c r="E33" i="26" s="1"/>
  <c r="N96" i="26"/>
  <c r="N110" i="26" s="1"/>
  <c r="M96" i="26"/>
  <c r="N89" i="26"/>
  <c r="N87" i="26"/>
  <c r="M87" i="26"/>
  <c r="N84" i="26"/>
  <c r="M84" i="26"/>
  <c r="M89" i="26" s="1"/>
  <c r="M74" i="26"/>
  <c r="M70" i="26"/>
  <c r="M72" i="26" s="1"/>
  <c r="M75" i="26" s="1"/>
  <c r="E13" i="26" s="1"/>
  <c r="N67" i="26"/>
  <c r="F13" i="26" s="1"/>
  <c r="N65" i="26"/>
  <c r="N60" i="26"/>
  <c r="N62" i="26" s="1"/>
  <c r="M60" i="26"/>
  <c r="M62" i="26" s="1"/>
  <c r="N52" i="26"/>
  <c r="N54" i="26" s="1"/>
  <c r="F6" i="26" s="1"/>
  <c r="M52" i="26"/>
  <c r="M54" i="26" s="1"/>
  <c r="E6" i="26" s="1"/>
  <c r="N39" i="26"/>
  <c r="M39" i="26"/>
  <c r="M38" i="26"/>
  <c r="N38" i="26" s="1"/>
  <c r="N37" i="26"/>
  <c r="M37" i="26"/>
  <c r="N36" i="26"/>
  <c r="M36" i="26"/>
  <c r="M32" i="26"/>
  <c r="E4" i="26" s="1"/>
  <c r="F32" i="26"/>
  <c r="E32" i="26"/>
  <c r="M31" i="26"/>
  <c r="F31" i="26"/>
  <c r="E31" i="26"/>
  <c r="N29" i="26"/>
  <c r="N31" i="26" s="1"/>
  <c r="M29" i="26"/>
  <c r="M28" i="26"/>
  <c r="E28" i="26"/>
  <c r="F27" i="26"/>
  <c r="F28" i="26" s="1"/>
  <c r="E27" i="26"/>
  <c r="P16" i="26"/>
  <c r="Q16" i="26" s="1"/>
  <c r="P15" i="26"/>
  <c r="Q15" i="26" s="1"/>
  <c r="P14" i="26"/>
  <c r="Q14" i="26" s="1"/>
  <c r="O14" i="26"/>
  <c r="P13" i="26"/>
  <c r="Q13" i="26" s="1"/>
  <c r="Q12" i="26"/>
  <c r="P12" i="26"/>
  <c r="P11" i="26"/>
  <c r="Q11" i="26" s="1"/>
  <c r="N19" i="26" s="1"/>
  <c r="N28" i="26" s="1"/>
  <c r="N3" i="26"/>
  <c r="N6" i="26" s="1"/>
  <c r="F2" i="26" s="1"/>
  <c r="M3" i="26"/>
  <c r="M6" i="26" s="1"/>
  <c r="E2" i="26" s="1"/>
  <c r="F8" i="26" l="1"/>
  <c r="E12" i="26"/>
  <c r="E16" i="26" s="1"/>
  <c r="E17" i="26" s="1"/>
  <c r="M77" i="26"/>
  <c r="F12" i="26"/>
  <c r="F16" i="26" s="1"/>
  <c r="F17" i="26" s="1"/>
  <c r="N77" i="26"/>
  <c r="N32" i="26"/>
  <c r="F4" i="26" s="1"/>
  <c r="E37" i="26"/>
  <c r="E38" i="26" s="1"/>
  <c r="F37" i="26"/>
  <c r="F38" i="26" s="1"/>
  <c r="O36" i="26"/>
  <c r="N43" i="26" s="1"/>
  <c r="E8" i="26"/>
  <c r="M110" i="26"/>
  <c r="F9" i="26" l="1"/>
  <c r="F53" i="26"/>
  <c r="F54" i="26" s="1"/>
  <c r="F47" i="26"/>
  <c r="F48" i="26" s="1"/>
  <c r="E53" i="26"/>
  <c r="E54" i="26" s="1"/>
  <c r="E47" i="26"/>
  <c r="E48" i="26" s="1"/>
  <c r="E9" i="26"/>
  <c r="AN32" i="1" l="1"/>
  <c r="AM32" i="1"/>
  <c r="AL32" i="1"/>
  <c r="AG32" i="1"/>
  <c r="AF32" i="1"/>
  <c r="AE32" i="1"/>
  <c r="Z32" i="1"/>
  <c r="Y32" i="1"/>
  <c r="X32" i="1"/>
  <c r="AN31" i="1"/>
  <c r="AM31" i="1"/>
  <c r="AL31" i="1"/>
  <c r="AG31" i="1"/>
  <c r="AF31" i="1"/>
  <c r="AE31" i="1"/>
  <c r="Z31" i="1"/>
  <c r="Y31" i="1"/>
  <c r="X31" i="1"/>
  <c r="AN30" i="1"/>
  <c r="AM30" i="1"/>
  <c r="AL30" i="1"/>
  <c r="AG30" i="1"/>
  <c r="AF30" i="1"/>
  <c r="AE30" i="1"/>
  <c r="Z30" i="1"/>
  <c r="Y30" i="1"/>
  <c r="X30" i="1"/>
  <c r="AN29" i="1"/>
  <c r="AM29" i="1"/>
  <c r="AL29" i="1"/>
  <c r="AG29" i="1"/>
  <c r="AF29" i="1"/>
  <c r="AE29" i="1"/>
  <c r="Z29" i="1"/>
  <c r="Y29" i="1"/>
  <c r="X29" i="1"/>
  <c r="AN28" i="1"/>
  <c r="AM28" i="1"/>
  <c r="AL28" i="1"/>
  <c r="AG28" i="1"/>
  <c r="AF28" i="1"/>
  <c r="AE28" i="1"/>
  <c r="Z28" i="1"/>
  <c r="Y28" i="1"/>
  <c r="X28" i="1"/>
  <c r="AN27" i="1"/>
  <c r="AM27" i="1"/>
  <c r="AL27" i="1"/>
  <c r="AG27" i="1"/>
  <c r="AF27" i="1"/>
  <c r="AE27" i="1"/>
  <c r="Z27" i="1"/>
  <c r="Y27" i="1"/>
  <c r="X27" i="1"/>
  <c r="AN26" i="1"/>
  <c r="AM26" i="1"/>
  <c r="AL26" i="1"/>
  <c r="AG26" i="1"/>
  <c r="AF26" i="1"/>
  <c r="AE26" i="1"/>
  <c r="Z26" i="1"/>
  <c r="Y26" i="1"/>
  <c r="X26" i="1"/>
  <c r="AN25" i="1"/>
  <c r="AM25" i="1"/>
  <c r="AL25" i="1"/>
  <c r="AG25" i="1"/>
  <c r="AF25" i="1"/>
  <c r="AE25" i="1"/>
  <c r="Z25" i="1"/>
  <c r="Y25" i="1"/>
  <c r="X25" i="1"/>
  <c r="AN24" i="1"/>
  <c r="AM24" i="1"/>
  <c r="AL24" i="1"/>
  <c r="AG24" i="1"/>
  <c r="AF24" i="1"/>
  <c r="AE24" i="1"/>
  <c r="Z24" i="1"/>
  <c r="Y24" i="1"/>
  <c r="X24" i="1"/>
  <c r="AG13" i="1"/>
  <c r="AF13" i="1"/>
  <c r="AE13" i="1"/>
  <c r="Z13" i="1"/>
  <c r="R22" i="1" s="1"/>
  <c r="Y13" i="1"/>
  <c r="X13" i="1"/>
  <c r="AG12" i="1"/>
  <c r="AF12" i="1"/>
  <c r="AE12" i="1"/>
  <c r="Z12" i="1"/>
  <c r="R20" i="1" s="1"/>
  <c r="Y12" i="1"/>
  <c r="M20" i="1" s="1"/>
  <c r="X12" i="1"/>
  <c r="AG11" i="1"/>
  <c r="AF11" i="1"/>
  <c r="AE11" i="1"/>
  <c r="Z11" i="1"/>
  <c r="R25" i="1" s="1"/>
  <c r="Y11" i="1"/>
  <c r="M25" i="1" s="1"/>
  <c r="X11" i="1"/>
  <c r="AG10" i="1"/>
  <c r="AF10" i="1"/>
  <c r="AE10" i="1"/>
  <c r="Z10" i="1"/>
  <c r="R14" i="1" s="1"/>
  <c r="Y10" i="1"/>
  <c r="M14" i="1" s="1"/>
  <c r="X10" i="1"/>
  <c r="H14" i="1" s="1"/>
  <c r="AG9" i="1"/>
  <c r="AF9" i="1"/>
  <c r="AE9" i="1"/>
  <c r="Z9" i="1"/>
  <c r="R30" i="1" s="1"/>
  <c r="Y9" i="1"/>
  <c r="M30" i="1" s="1"/>
  <c r="X9" i="1"/>
  <c r="H7" i="1" s="1"/>
  <c r="AG8" i="1"/>
  <c r="AF8" i="1"/>
  <c r="AE8" i="1"/>
  <c r="Z8" i="1"/>
  <c r="R18" i="1" s="1"/>
  <c r="Y8" i="1"/>
  <c r="M13" i="1" s="1"/>
  <c r="X8" i="1"/>
  <c r="H6" i="1" s="1"/>
  <c r="AG7" i="1"/>
  <c r="AF7" i="1"/>
  <c r="AE7" i="1"/>
  <c r="Z7" i="1"/>
  <c r="R24" i="1" s="1"/>
  <c r="Y7" i="1"/>
  <c r="M24" i="1" s="1"/>
  <c r="X7" i="1"/>
  <c r="H17" i="1" s="1"/>
  <c r="AG6" i="1"/>
  <c r="AF6" i="1"/>
  <c r="AE6" i="1"/>
  <c r="Z6" i="1"/>
  <c r="R10" i="1" s="1"/>
  <c r="Y6" i="1"/>
  <c r="M10" i="1" s="1"/>
  <c r="X6" i="1"/>
  <c r="H39" i="1" s="1"/>
  <c r="AG5" i="1"/>
  <c r="AF5" i="1"/>
  <c r="AE5" i="1"/>
  <c r="Z5" i="1"/>
  <c r="R32" i="1" s="1"/>
  <c r="Y5" i="1"/>
  <c r="M32" i="1" s="1"/>
  <c r="X5" i="1"/>
  <c r="H3" i="1" s="1"/>
  <c r="AH7" i="1" l="1"/>
  <c r="AH8" i="1"/>
  <c r="AH24" i="1"/>
  <c r="AH28" i="1"/>
  <c r="AH32" i="1"/>
  <c r="M5" i="1"/>
  <c r="AA28" i="1"/>
  <c r="AO32" i="1"/>
  <c r="AH9" i="1"/>
  <c r="AH26" i="1"/>
  <c r="AO27" i="1"/>
  <c r="M7" i="1"/>
  <c r="M6" i="1"/>
  <c r="R6" i="1"/>
  <c r="M4" i="1"/>
  <c r="R8" i="1"/>
  <c r="AH25" i="1"/>
  <c r="R7" i="1"/>
  <c r="AH29" i="1"/>
  <c r="H9" i="1"/>
  <c r="AH12" i="1"/>
  <c r="AH13" i="1"/>
  <c r="R11" i="1"/>
  <c r="R4" i="1"/>
  <c r="AA11" i="1"/>
  <c r="H12" i="1"/>
  <c r="AO25" i="1"/>
  <c r="AH30" i="1"/>
  <c r="AO31" i="1"/>
  <c r="AH5" i="1"/>
  <c r="AO29" i="1"/>
  <c r="R17" i="1"/>
  <c r="M23" i="1"/>
  <c r="AA25" i="1"/>
  <c r="R27" i="1"/>
  <c r="AO28" i="1"/>
  <c r="AA29" i="1"/>
  <c r="R31" i="1"/>
  <c r="AA5" i="1"/>
  <c r="R19" i="1"/>
  <c r="R23" i="1"/>
  <c r="H25" i="1"/>
  <c r="R15" i="1"/>
  <c r="AA10" i="1"/>
  <c r="R5" i="1"/>
  <c r="AH10" i="1"/>
  <c r="M12" i="1"/>
  <c r="AA26" i="1"/>
  <c r="AA30" i="1"/>
  <c r="M3" i="1"/>
  <c r="AH6" i="1"/>
  <c r="M8" i="1"/>
  <c r="R12" i="1"/>
  <c r="AA24" i="1"/>
  <c r="AO26" i="1"/>
  <c r="AA27" i="1"/>
  <c r="R29" i="1"/>
  <c r="AO30" i="1"/>
  <c r="AA31" i="1"/>
  <c r="M37" i="1"/>
  <c r="R3" i="1"/>
  <c r="AA9" i="1"/>
  <c r="AH11" i="1"/>
  <c r="AA12" i="1"/>
  <c r="AA13" i="1"/>
  <c r="R21" i="1"/>
  <c r="AO24" i="1"/>
  <c r="AH27" i="1"/>
  <c r="AH31" i="1"/>
  <c r="M43" i="1"/>
  <c r="H4" i="1"/>
  <c r="H1012" i="1"/>
  <c r="H1002" i="1"/>
  <c r="H978" i="1"/>
  <c r="H964" i="1"/>
  <c r="H950" i="1"/>
  <c r="H944" i="1"/>
  <c r="H938" i="1"/>
  <c r="H932" i="1"/>
  <c r="H926" i="1"/>
  <c r="H920" i="1"/>
  <c r="H890" i="1"/>
  <c r="H880" i="1"/>
  <c r="H874" i="1"/>
  <c r="H868" i="1"/>
  <c r="H860" i="1"/>
  <c r="H1019" i="1"/>
  <c r="H1007" i="1"/>
  <c r="H993" i="1"/>
  <c r="H991" i="1"/>
  <c r="H985" i="1"/>
  <c r="H971" i="1"/>
  <c r="H957" i="1"/>
  <c r="H915" i="1"/>
  <c r="H907" i="1"/>
  <c r="H901" i="1"/>
  <c r="H895" i="1"/>
  <c r="H885" i="1"/>
  <c r="H848" i="1"/>
  <c r="H844" i="1"/>
  <c r="H834" i="1"/>
  <c r="H828" i="1"/>
  <c r="H822" i="1"/>
  <c r="H804" i="1"/>
  <c r="H802" i="1"/>
  <c r="H796" i="1"/>
  <c r="H770" i="1"/>
  <c r="H809" i="1"/>
  <c r="H855" i="1"/>
  <c r="H704" i="1"/>
  <c r="H793" i="1"/>
  <c r="H784" i="1"/>
  <c r="H776" i="1"/>
  <c r="H764" i="1"/>
  <c r="H759" i="1"/>
  <c r="H752" i="1"/>
  <c r="H815" i="1"/>
  <c r="H745" i="1"/>
  <c r="H733" i="1"/>
  <c r="H693" i="1"/>
  <c r="H681" i="1"/>
  <c r="H636" i="1"/>
  <c r="H633" i="1"/>
  <c r="H627" i="1"/>
  <c r="H610" i="1"/>
  <c r="H606" i="1"/>
  <c r="H592" i="1"/>
  <c r="H756" i="1"/>
  <c r="H689" i="1"/>
  <c r="H659" i="1"/>
  <c r="H653" i="1"/>
  <c r="H650" i="1"/>
  <c r="H739" i="1"/>
  <c r="H621" i="1"/>
  <c r="H613" i="1"/>
  <c r="H597" i="1"/>
  <c r="H587" i="1"/>
  <c r="H581" i="1"/>
  <c r="H725" i="1"/>
  <c r="H717" i="1"/>
  <c r="H711" i="1"/>
  <c r="H673" i="1"/>
  <c r="H667" i="1"/>
  <c r="H643" i="1"/>
  <c r="H637" i="1"/>
  <c r="H518" i="1"/>
  <c r="H506" i="1"/>
  <c r="H475" i="1"/>
  <c r="H458" i="1"/>
  <c r="H451" i="1"/>
  <c r="H431" i="1"/>
  <c r="H423" i="1"/>
  <c r="H411" i="1"/>
  <c r="H401" i="1"/>
  <c r="H395" i="1"/>
  <c r="H387" i="1"/>
  <c r="H377" i="1"/>
  <c r="H365" i="1"/>
  <c r="H357" i="1"/>
  <c r="H351" i="1"/>
  <c r="H319" i="1"/>
  <c r="H313" i="1"/>
  <c r="H572" i="1"/>
  <c r="H566" i="1"/>
  <c r="H528" i="1"/>
  <c r="H513" i="1"/>
  <c r="H503" i="1"/>
  <c r="H486" i="1"/>
  <c r="H479" i="1"/>
  <c r="H490" i="1"/>
  <c r="H574" i="1"/>
  <c r="H559" i="1"/>
  <c r="H497" i="1"/>
  <c r="H468" i="1"/>
  <c r="H545" i="1"/>
  <c r="H406" i="1"/>
  <c r="H310" i="1"/>
  <c r="H287" i="1"/>
  <c r="H280" i="1"/>
  <c r="H239" i="1"/>
  <c r="H232" i="1"/>
  <c r="H524" i="1"/>
  <c r="H416" i="1"/>
  <c r="H539" i="1"/>
  <c r="H303" i="1"/>
  <c r="H267" i="1"/>
  <c r="H260" i="1"/>
  <c r="H248" i="1"/>
  <c r="H536" i="1"/>
  <c r="H464" i="1"/>
  <c r="H444" i="1"/>
  <c r="H438" i="1"/>
  <c r="H384" i="1"/>
  <c r="H372" i="1"/>
  <c r="H360" i="1"/>
  <c r="H340" i="1"/>
  <c r="H332" i="1"/>
  <c r="H324" i="1"/>
  <c r="H226" i="1"/>
  <c r="H551" i="1"/>
  <c r="H295" i="1"/>
  <c r="H276" i="1"/>
  <c r="H219" i="1"/>
  <c r="H211" i="1"/>
  <c r="H207" i="1"/>
  <c r="H189" i="1"/>
  <c r="H177" i="1"/>
  <c r="H171" i="1"/>
  <c r="H165" i="1"/>
  <c r="H127" i="1"/>
  <c r="H198" i="1"/>
  <c r="H182" i="1"/>
  <c r="H158" i="1"/>
  <c r="H152" i="1"/>
  <c r="H140" i="1"/>
  <c r="H134" i="1"/>
  <c r="H103" i="1"/>
  <c r="H65" i="1"/>
  <c r="H61" i="1"/>
  <c r="H49" i="1"/>
  <c r="H273" i="1"/>
  <c r="H148" i="1"/>
  <c r="H114" i="1"/>
  <c r="H109" i="1"/>
  <c r="H96" i="1"/>
  <c r="H90" i="1"/>
  <c r="H84" i="1"/>
  <c r="H78" i="1"/>
  <c r="H74" i="1"/>
  <c r="H72" i="1"/>
  <c r="H54" i="1"/>
  <c r="H38" i="1"/>
  <c r="H32" i="1"/>
  <c r="H254" i="1"/>
  <c r="H118" i="1"/>
  <c r="M1020" i="1"/>
  <c r="M1008" i="1"/>
  <c r="M986" i="1"/>
  <c r="M972" i="1"/>
  <c r="M966" i="1"/>
  <c r="M960" i="1"/>
  <c r="M958" i="1"/>
  <c r="M916" i="1"/>
  <c r="M902" i="1"/>
  <c r="M896" i="1"/>
  <c r="M886" i="1"/>
  <c r="M856" i="1"/>
  <c r="M1013" i="1"/>
  <c r="M1003" i="1"/>
  <c r="M995" i="1"/>
  <c r="M979" i="1"/>
  <c r="M951" i="1"/>
  <c r="M945" i="1"/>
  <c r="M939" i="1"/>
  <c r="M933" i="1"/>
  <c r="M929" i="1"/>
  <c r="M909" i="1"/>
  <c r="M816" i="1"/>
  <c r="M790" i="1"/>
  <c r="M869" i="1"/>
  <c r="M861" i="1"/>
  <c r="M849" i="1"/>
  <c r="M835" i="1"/>
  <c r="M829" i="1"/>
  <c r="M811" i="1"/>
  <c r="M805" i="1"/>
  <c r="M785" i="1"/>
  <c r="M777" i="1"/>
  <c r="M771" i="1"/>
  <c r="M765" i="1"/>
  <c r="M757" i="1"/>
  <c r="M760" i="1"/>
  <c r="M746" i="1"/>
  <c r="M740" i="1"/>
  <c r="M706" i="1"/>
  <c r="M875" i="1"/>
  <c r="M891" i="1"/>
  <c r="M735" i="1"/>
  <c r="M727" i="1"/>
  <c r="M719" i="1"/>
  <c r="M713" i="1"/>
  <c r="M687" i="1"/>
  <c r="M675" i="1"/>
  <c r="M661" i="1"/>
  <c r="M651" i="1"/>
  <c r="M668" i="1"/>
  <c r="M644" i="1"/>
  <c r="M638" i="1"/>
  <c r="M611" i="1"/>
  <c r="M599" i="1"/>
  <c r="M593" i="1"/>
  <c r="M575" i="1"/>
  <c r="M700" i="1"/>
  <c r="M694" i="1"/>
  <c r="M682" i="1"/>
  <c r="M634" i="1"/>
  <c r="M628" i="1"/>
  <c r="M690" i="1"/>
  <c r="M654" i="1"/>
  <c r="M608" i="1"/>
  <c r="M546" i="1"/>
  <c r="M540" i="1"/>
  <c r="M537" i="1"/>
  <c r="M525" i="1"/>
  <c r="M465" i="1"/>
  <c r="M498" i="1"/>
  <c r="M491" i="1"/>
  <c r="M582" i="1"/>
  <c r="M560" i="1"/>
  <c r="M476" i="1"/>
  <c r="M469" i="1"/>
  <c r="M452" i="1"/>
  <c r="M440" i="1"/>
  <c r="M432" i="1"/>
  <c r="M424" i="1"/>
  <c r="M418" i="1"/>
  <c r="M412" i="1"/>
  <c r="M588" i="1"/>
  <c r="M553" i="1"/>
  <c r="M529" i="1"/>
  <c r="M504" i="1"/>
  <c r="M480" i="1"/>
  <c r="M622" i="1"/>
  <c r="M487" i="1"/>
  <c r="M614" i="1"/>
  <c r="M429" i="1"/>
  <c r="M289" i="1"/>
  <c r="M282" i="1"/>
  <c r="M277" i="1"/>
  <c r="M208" i="1"/>
  <c r="M200" i="1"/>
  <c r="M178" i="1"/>
  <c r="M166" i="1"/>
  <c r="M160" i="1"/>
  <c r="M142" i="1"/>
  <c r="M128" i="1"/>
  <c r="M120" i="1"/>
  <c r="M110" i="1"/>
  <c r="M104" i="1"/>
  <c r="M459" i="1"/>
  <c r="M397" i="1"/>
  <c r="M389" i="1"/>
  <c r="M361" i="1"/>
  <c r="M341" i="1"/>
  <c r="M333" i="1"/>
  <c r="M325" i="1"/>
  <c r="M296" i="1"/>
  <c r="M255" i="1"/>
  <c r="M243" i="1"/>
  <c r="M507" i="1"/>
  <c r="M445" i="1"/>
  <c r="M348" i="1"/>
  <c r="M336" i="1"/>
  <c r="M320" i="1"/>
  <c r="M262" i="1"/>
  <c r="M233" i="1"/>
  <c r="M519" i="1"/>
  <c r="M240" i="1"/>
  <c r="M228" i="1"/>
  <c r="M221" i="1"/>
  <c r="M213" i="1"/>
  <c r="M311" i="1"/>
  <c r="M249" i="1"/>
  <c r="M378" i="1"/>
  <c r="M330" i="1"/>
  <c r="M149" i="1"/>
  <c r="M304" i="1"/>
  <c r="M173" i="1"/>
  <c r="M92" i="1"/>
  <c r="M66" i="1"/>
  <c r="M64" i="1"/>
  <c r="M62" i="1"/>
  <c r="M50" i="1"/>
  <c r="M44" i="1"/>
  <c r="M366" i="1"/>
  <c r="M514" i="1"/>
  <c r="M314" i="1"/>
  <c r="M268" i="1"/>
  <c r="M191" i="1"/>
  <c r="M183" i="1"/>
  <c r="M135" i="1"/>
  <c r="M115" i="1"/>
  <c r="M97" i="1"/>
  <c r="M85" i="1"/>
  <c r="M79" i="1"/>
  <c r="M75" i="1"/>
  <c r="M55" i="1"/>
  <c r="R1021" i="1"/>
  <c r="R973" i="1"/>
  <c r="R967" i="1"/>
  <c r="R882" i="1"/>
  <c r="R870" i="1"/>
  <c r="R850" i="1"/>
  <c r="R842" i="1"/>
  <c r="R836" i="1"/>
  <c r="R830" i="1"/>
  <c r="R824" i="1"/>
  <c r="R812" i="1"/>
  <c r="R806" i="1"/>
  <c r="R786" i="1"/>
  <c r="R778" i="1"/>
  <c r="R772" i="1"/>
  <c r="R766" i="1"/>
  <c r="R1014" i="1"/>
  <c r="R996" i="1"/>
  <c r="R897" i="1"/>
  <c r="R917" i="1"/>
  <c r="R862" i="1"/>
  <c r="R952" i="1"/>
  <c r="R946" i="1"/>
  <c r="R940" i="1"/>
  <c r="R934" i="1"/>
  <c r="R922" i="1"/>
  <c r="R910" i="1"/>
  <c r="R876" i="1"/>
  <c r="R845" i="1"/>
  <c r="R797" i="1"/>
  <c r="R987" i="1"/>
  <c r="R927" i="1"/>
  <c r="R903" i="1"/>
  <c r="R887" i="1"/>
  <c r="R980" i="1"/>
  <c r="R736" i="1"/>
  <c r="R728" i="1"/>
  <c r="R720" i="1"/>
  <c r="R714" i="1"/>
  <c r="R676" i="1"/>
  <c r="R662" i="1"/>
  <c r="R857" i="1"/>
  <c r="R1004" i="1"/>
  <c r="R761" i="1"/>
  <c r="R747" i="1"/>
  <c r="R741" i="1"/>
  <c r="R707" i="1"/>
  <c r="R695" i="1"/>
  <c r="R683" i="1"/>
  <c r="R629" i="1"/>
  <c r="R615" i="1"/>
  <c r="R607" i="1"/>
  <c r="R589" i="1"/>
  <c r="R583" i="1"/>
  <c r="R561" i="1"/>
  <c r="R547" i="1"/>
  <c r="R541" i="1"/>
  <c r="R533" i="1"/>
  <c r="R753" i="1"/>
  <c r="R623" i="1"/>
  <c r="R655" i="1"/>
  <c r="R600" i="1"/>
  <c r="R594" i="1"/>
  <c r="R576" i="1"/>
  <c r="R568" i="1"/>
  <c r="R554" i="1"/>
  <c r="R520" i="1"/>
  <c r="R508" i="1"/>
  <c r="R492" i="1"/>
  <c r="R470" i="1"/>
  <c r="R460" i="1"/>
  <c r="R515" i="1"/>
  <c r="R669" i="1"/>
  <c r="R481" i="1"/>
  <c r="R446" i="1"/>
  <c r="R398" i="1"/>
  <c r="R390" i="1"/>
  <c r="R374" i="1"/>
  <c r="R342" i="1"/>
  <c r="R334" i="1"/>
  <c r="R326" i="1"/>
  <c r="R499" i="1"/>
  <c r="R441" i="1"/>
  <c r="R433" i="1"/>
  <c r="R425" i="1"/>
  <c r="R419" i="1"/>
  <c r="R413" i="1"/>
  <c r="R407" i="1"/>
  <c r="R403" i="1"/>
  <c r="R379" i="1"/>
  <c r="R367" i="1"/>
  <c r="R359" i="1"/>
  <c r="R353" i="1"/>
  <c r="R337" i="1"/>
  <c r="R321" i="1"/>
  <c r="R315" i="1"/>
  <c r="R305" i="1"/>
  <c r="R297" i="1"/>
  <c r="R283" i="1"/>
  <c r="R269" i="1"/>
  <c r="R263" i="1"/>
  <c r="R241" i="1"/>
  <c r="R229" i="1"/>
  <c r="R639" i="1"/>
  <c r="R477" i="1"/>
  <c r="R453" i="1"/>
  <c r="R250" i="1"/>
  <c r="R209" i="1"/>
  <c r="R201" i="1"/>
  <c r="R179" i="1"/>
  <c r="R290" i="1"/>
  <c r="R645" i="1"/>
  <c r="R256" i="1"/>
  <c r="R244" i="1"/>
  <c r="R234" i="1"/>
  <c r="R154" i="1"/>
  <c r="R136" i="1"/>
  <c r="R121" i="1"/>
  <c r="R98" i="1"/>
  <c r="R86" i="1"/>
  <c r="R80" i="1"/>
  <c r="R56" i="1"/>
  <c r="R40" i="1"/>
  <c r="R34" i="1"/>
  <c r="R192" i="1"/>
  <c r="R184" i="1"/>
  <c r="R214" i="1"/>
  <c r="R129" i="1"/>
  <c r="R126" i="1"/>
  <c r="R93" i="1"/>
  <c r="R67" i="1"/>
  <c r="R45" i="1"/>
  <c r="R222" i="1"/>
  <c r="R174" i="1"/>
  <c r="R161" i="1"/>
  <c r="R143" i="1"/>
  <c r="R105" i="1"/>
  <c r="H8" i="1"/>
  <c r="AA8" i="1"/>
  <c r="M9" i="1"/>
  <c r="H1022" i="1"/>
  <c r="H988" i="1"/>
  <c r="H974" i="1"/>
  <c r="H968" i="1"/>
  <c r="H918" i="1"/>
  <c r="H904" i="1"/>
  <c r="H898" i="1"/>
  <c r="H892" i="1"/>
  <c r="H1015" i="1"/>
  <c r="H1005" i="1"/>
  <c r="H997" i="1"/>
  <c r="H981" i="1"/>
  <c r="H953" i="1"/>
  <c r="H947" i="1"/>
  <c r="H935" i="1"/>
  <c r="H923" i="1"/>
  <c r="H911" i="1"/>
  <c r="H883" i="1"/>
  <c r="H871" i="1"/>
  <c r="H863" i="1"/>
  <c r="H787" i="1"/>
  <c r="H831" i="1"/>
  <c r="H773" i="1"/>
  <c r="H762" i="1"/>
  <c r="H742" i="1"/>
  <c r="H708" i="1"/>
  <c r="H817" i="1"/>
  <c r="H851" i="1"/>
  <c r="H837" i="1"/>
  <c r="H779" i="1"/>
  <c r="H721" i="1"/>
  <c r="H696" i="1"/>
  <c r="H684" i="1"/>
  <c r="H663" i="1"/>
  <c r="H630" i="1"/>
  <c r="H616" i="1"/>
  <c r="H813" i="1"/>
  <c r="H729" i="1"/>
  <c r="H677" i="1"/>
  <c r="H656" i="1"/>
  <c r="H767" i="1"/>
  <c r="H601" i="1"/>
  <c r="H577" i="1"/>
  <c r="H569" i="1"/>
  <c r="H737" i="1"/>
  <c r="H646" i="1"/>
  <c r="H640" i="1"/>
  <c r="H482" i="1"/>
  <c r="H447" i="1"/>
  <c r="H391" i="1"/>
  <c r="H375" i="1"/>
  <c r="H343" i="1"/>
  <c r="H327" i="1"/>
  <c r="H584" i="1"/>
  <c r="H555" i="1"/>
  <c r="H534" i="1"/>
  <c r="H471" i="1"/>
  <c r="H454" i="1"/>
  <c r="H562" i="1"/>
  <c r="H521" i="1"/>
  <c r="H516" i="1"/>
  <c r="H509" i="1"/>
  <c r="H461" i="1"/>
  <c r="H362" i="1"/>
  <c r="H354" i="1"/>
  <c r="H251" i="1"/>
  <c r="H542" i="1"/>
  <c r="H434" i="1"/>
  <c r="H306" i="1"/>
  <c r="H270" i="1"/>
  <c r="H202" i="1"/>
  <c r="H493" i="1"/>
  <c r="H291" i="1"/>
  <c r="H426" i="1"/>
  <c r="H420" i="1"/>
  <c r="H408" i="1"/>
  <c r="H380" i="1"/>
  <c r="H368" i="1"/>
  <c r="H316" i="1"/>
  <c r="H298" i="1"/>
  <c r="H257" i="1"/>
  <c r="H245" i="1"/>
  <c r="H488" i="1"/>
  <c r="H264" i="1"/>
  <c r="H235" i="1"/>
  <c r="H223" i="1"/>
  <c r="H193" i="1"/>
  <c r="H185" i="1"/>
  <c r="H167" i="1"/>
  <c r="H155" i="1"/>
  <c r="H137" i="1"/>
  <c r="H122" i="1"/>
  <c r="H99" i="1"/>
  <c r="H87" i="1"/>
  <c r="H57" i="1"/>
  <c r="H51" i="1"/>
  <c r="H230" i="1"/>
  <c r="H130" i="1"/>
  <c r="H94" i="1"/>
  <c r="H68" i="1"/>
  <c r="H46" i="1"/>
  <c r="H162" i="1"/>
  <c r="H144" i="1"/>
  <c r="H111" i="1"/>
  <c r="H106" i="1"/>
  <c r="H500" i="1"/>
  <c r="H442" i="1"/>
  <c r="M1018" i="1"/>
  <c r="M992" i="1"/>
  <c r="M924" i="1"/>
  <c r="M914" i="1"/>
  <c r="M906" i="1"/>
  <c r="M1011" i="1"/>
  <c r="M1001" i="1"/>
  <c r="M963" i="1"/>
  <c r="M943" i="1"/>
  <c r="M925" i="1"/>
  <c r="M919" i="1"/>
  <c r="M854" i="1"/>
  <c r="M840" i="1"/>
  <c r="M826" i="1"/>
  <c r="M820" i="1"/>
  <c r="M808" i="1"/>
  <c r="M792" i="1"/>
  <c r="M873" i="1"/>
  <c r="M843" i="1"/>
  <c r="M821" i="1"/>
  <c r="M801" i="1"/>
  <c r="M799" i="1"/>
  <c r="M795" i="1"/>
  <c r="M783" i="1"/>
  <c r="M755" i="1"/>
  <c r="M751" i="1"/>
  <c r="M879" i="1"/>
  <c r="M732" i="1"/>
  <c r="M724" i="1"/>
  <c r="M716" i="1"/>
  <c r="M710" i="1"/>
  <c r="M867" i="1"/>
  <c r="M703" i="1"/>
  <c r="M649" i="1"/>
  <c r="M680" i="1"/>
  <c r="M626" i="1"/>
  <c r="M605" i="1"/>
  <c r="M591" i="1"/>
  <c r="M573" i="1"/>
  <c r="M571" i="1"/>
  <c r="M565" i="1"/>
  <c r="M658" i="1"/>
  <c r="M672" i="1"/>
  <c r="M620" i="1"/>
  <c r="M596" i="1"/>
  <c r="M558" i="1"/>
  <c r="M531" i="1"/>
  <c r="M496" i="1"/>
  <c r="M474" i="1"/>
  <c r="M666" i="1"/>
  <c r="M512" i="1"/>
  <c r="M430" i="1"/>
  <c r="M410" i="1"/>
  <c r="M550" i="1"/>
  <c r="M218" i="1"/>
  <c r="M210" i="1"/>
  <c r="M206" i="1"/>
  <c r="M188" i="1"/>
  <c r="M176" i="1"/>
  <c r="M170" i="1"/>
  <c r="M405" i="1"/>
  <c r="M279" i="1"/>
  <c r="M415" i="1"/>
  <c r="M400" i="1"/>
  <c r="M356" i="1"/>
  <c r="M308" i="1"/>
  <c r="M286" i="1"/>
  <c r="M238" i="1"/>
  <c r="M259" i="1"/>
  <c r="M217" i="1"/>
  <c r="M437" i="1"/>
  <c r="M383" i="1"/>
  <c r="M371" i="1"/>
  <c r="M347" i="1"/>
  <c r="M331" i="1"/>
  <c r="M302" i="1"/>
  <c r="M225" i="1"/>
  <c r="M125" i="1"/>
  <c r="M117" i="1"/>
  <c r="M350" i="1"/>
  <c r="M275" i="1"/>
  <c r="M197" i="1"/>
  <c r="M394" i="1"/>
  <c r="M157" i="1"/>
  <c r="M151" i="1"/>
  <c r="M139" i="1"/>
  <c r="M133" i="1"/>
  <c r="M102" i="1"/>
  <c r="M60" i="1"/>
  <c r="M386" i="1"/>
  <c r="M147" i="1"/>
  <c r="M89" i="1"/>
  <c r="M83" i="1"/>
  <c r="M71" i="1"/>
  <c r="R810" i="1"/>
  <c r="R881" i="1"/>
  <c r="R965" i="1"/>
  <c r="R994" i="1"/>
  <c r="R841" i="1"/>
  <c r="R823" i="1"/>
  <c r="R803" i="1"/>
  <c r="R921" i="1"/>
  <c r="R908" i="1"/>
  <c r="R734" i="1"/>
  <c r="R726" i="1"/>
  <c r="R718" i="1"/>
  <c r="R712" i="1"/>
  <c r="R674" i="1"/>
  <c r="R660" i="1"/>
  <c r="R567" i="1"/>
  <c r="R705" i="1"/>
  <c r="R598" i="1"/>
  <c r="R552" i="1"/>
  <c r="R532" i="1"/>
  <c r="R402" i="1"/>
  <c r="R396" i="1"/>
  <c r="R388" i="1"/>
  <c r="R358" i="1"/>
  <c r="R352" i="1"/>
  <c r="R439" i="1"/>
  <c r="R417" i="1"/>
  <c r="R373" i="1"/>
  <c r="R309" i="1"/>
  <c r="R281" i="1"/>
  <c r="R261" i="1"/>
  <c r="R227" i="1"/>
  <c r="R288" i="1"/>
  <c r="R199" i="1"/>
  <c r="R220" i="1"/>
  <c r="R119" i="1"/>
  <c r="R172" i="1"/>
  <c r="R159" i="1"/>
  <c r="R153" i="1"/>
  <c r="R141" i="1"/>
  <c r="R212" i="1"/>
  <c r="R91" i="1"/>
  <c r="R190" i="1"/>
  <c r="H16" i="1"/>
  <c r="H18" i="1"/>
  <c r="H20" i="1"/>
  <c r="H22" i="1"/>
  <c r="H24" i="1"/>
  <c r="H26" i="1"/>
  <c r="H28" i="1"/>
  <c r="H30" i="1"/>
  <c r="H33" i="1"/>
  <c r="H41" i="1"/>
  <c r="H1020" i="1"/>
  <c r="H1008" i="1"/>
  <c r="H986" i="1"/>
  <c r="H972" i="1"/>
  <c r="H966" i="1"/>
  <c r="H960" i="1"/>
  <c r="H958" i="1"/>
  <c r="H916" i="1"/>
  <c r="H902" i="1"/>
  <c r="H896" i="1"/>
  <c r="H886" i="1"/>
  <c r="H856" i="1"/>
  <c r="H1013" i="1"/>
  <c r="H1003" i="1"/>
  <c r="H995" i="1"/>
  <c r="H979" i="1"/>
  <c r="H951" i="1"/>
  <c r="H945" i="1"/>
  <c r="H939" i="1"/>
  <c r="H933" i="1"/>
  <c r="H929" i="1"/>
  <c r="H909" i="1"/>
  <c r="H891" i="1"/>
  <c r="H875" i="1"/>
  <c r="H869" i="1"/>
  <c r="H816" i="1"/>
  <c r="H790" i="1"/>
  <c r="H861" i="1"/>
  <c r="H835" i="1"/>
  <c r="H811" i="1"/>
  <c r="H760" i="1"/>
  <c r="H785" i="1"/>
  <c r="H777" i="1"/>
  <c r="H765" i="1"/>
  <c r="H757" i="1"/>
  <c r="H746" i="1"/>
  <c r="H740" i="1"/>
  <c r="H706" i="1"/>
  <c r="H829" i="1"/>
  <c r="H805" i="1"/>
  <c r="H690" i="1"/>
  <c r="H687" i="1"/>
  <c r="H675" i="1"/>
  <c r="H654" i="1"/>
  <c r="H651" i="1"/>
  <c r="H622" i="1"/>
  <c r="H614" i="1"/>
  <c r="H608" i="1"/>
  <c r="H588" i="1"/>
  <c r="H771" i="1"/>
  <c r="H719" i="1"/>
  <c r="H713" i="1"/>
  <c r="H668" i="1"/>
  <c r="H644" i="1"/>
  <c r="H638" i="1"/>
  <c r="H727" i="1"/>
  <c r="H611" i="1"/>
  <c r="H599" i="1"/>
  <c r="H593" i="1"/>
  <c r="H575" i="1"/>
  <c r="H700" i="1"/>
  <c r="H694" i="1"/>
  <c r="H682" i="1"/>
  <c r="H661" i="1"/>
  <c r="H634" i="1"/>
  <c r="H628" i="1"/>
  <c r="H849" i="1"/>
  <c r="H487" i="1"/>
  <c r="H445" i="1"/>
  <c r="H429" i="1"/>
  <c r="H397" i="1"/>
  <c r="H389" i="1"/>
  <c r="H361" i="1"/>
  <c r="H341" i="1"/>
  <c r="H333" i="1"/>
  <c r="H325" i="1"/>
  <c r="H311" i="1"/>
  <c r="H546" i="1"/>
  <c r="H540" i="1"/>
  <c r="H537" i="1"/>
  <c r="H525" i="1"/>
  <c r="H465" i="1"/>
  <c r="H498" i="1"/>
  <c r="H491" i="1"/>
  <c r="H735" i="1"/>
  <c r="H519" i="1"/>
  <c r="H514" i="1"/>
  <c r="H507" i="1"/>
  <c r="H459" i="1"/>
  <c r="H553" i="1"/>
  <c r="H529" i="1"/>
  <c r="H504" i="1"/>
  <c r="H480" i="1"/>
  <c r="H469" i="1"/>
  <c r="H378" i="1"/>
  <c r="H366" i="1"/>
  <c r="H330" i="1"/>
  <c r="H314" i="1"/>
  <c r="H304" i="1"/>
  <c r="H268" i="1"/>
  <c r="H560" i="1"/>
  <c r="H452" i="1"/>
  <c r="H440" i="1"/>
  <c r="H289" i="1"/>
  <c r="H282" i="1"/>
  <c r="H277" i="1"/>
  <c r="H208" i="1"/>
  <c r="H296" i="1"/>
  <c r="H255" i="1"/>
  <c r="H243" i="1"/>
  <c r="H582" i="1"/>
  <c r="H476" i="1"/>
  <c r="H432" i="1"/>
  <c r="H348" i="1"/>
  <c r="H336" i="1"/>
  <c r="H320" i="1"/>
  <c r="H262" i="1"/>
  <c r="H233" i="1"/>
  <c r="H240" i="1"/>
  <c r="H228" i="1"/>
  <c r="H221" i="1"/>
  <c r="H213" i="1"/>
  <c r="H191" i="1"/>
  <c r="H183" i="1"/>
  <c r="H173" i="1"/>
  <c r="H149" i="1"/>
  <c r="H135" i="1"/>
  <c r="H249" i="1"/>
  <c r="H178" i="1"/>
  <c r="H128" i="1"/>
  <c r="H115" i="1"/>
  <c r="H110" i="1"/>
  <c r="H97" i="1"/>
  <c r="H85" i="1"/>
  <c r="H79" i="1"/>
  <c r="H75" i="1"/>
  <c r="H55" i="1"/>
  <c r="H424" i="1"/>
  <c r="H166" i="1"/>
  <c r="H160" i="1"/>
  <c r="H142" i="1"/>
  <c r="H418" i="1"/>
  <c r="H200" i="1"/>
  <c r="H104" i="1"/>
  <c r="H92" i="1"/>
  <c r="H66" i="1"/>
  <c r="H64" i="1"/>
  <c r="H62" i="1"/>
  <c r="H50" i="1"/>
  <c r="H44" i="1"/>
  <c r="H412" i="1"/>
  <c r="H120" i="1"/>
  <c r="M994" i="1"/>
  <c r="M908" i="1"/>
  <c r="M965" i="1"/>
  <c r="M921" i="1"/>
  <c r="M810" i="1"/>
  <c r="M881" i="1"/>
  <c r="M841" i="1"/>
  <c r="M823" i="1"/>
  <c r="M803" i="1"/>
  <c r="M734" i="1"/>
  <c r="M726" i="1"/>
  <c r="M718" i="1"/>
  <c r="M712" i="1"/>
  <c r="M705" i="1"/>
  <c r="M674" i="1"/>
  <c r="M567" i="1"/>
  <c r="M552" i="1"/>
  <c r="M660" i="1"/>
  <c r="M532" i="1"/>
  <c r="M598" i="1"/>
  <c r="M417" i="1"/>
  <c r="M220" i="1"/>
  <c r="M212" i="1"/>
  <c r="M190" i="1"/>
  <c r="M172" i="1"/>
  <c r="M373" i="1"/>
  <c r="M309" i="1"/>
  <c r="M439" i="1"/>
  <c r="M396" i="1"/>
  <c r="M388" i="1"/>
  <c r="M352" i="1"/>
  <c r="M281" i="1"/>
  <c r="M288" i="1"/>
  <c r="M261" i="1"/>
  <c r="M402" i="1"/>
  <c r="M119" i="1"/>
  <c r="M227" i="1"/>
  <c r="M199" i="1"/>
  <c r="M159" i="1"/>
  <c r="M153" i="1"/>
  <c r="M141" i="1"/>
  <c r="M358" i="1"/>
  <c r="M91" i="1"/>
  <c r="M1012" i="1"/>
  <c r="M1002" i="1"/>
  <c r="M978" i="1"/>
  <c r="M964" i="1"/>
  <c r="M950" i="1"/>
  <c r="M944" i="1"/>
  <c r="M938" i="1"/>
  <c r="M932" i="1"/>
  <c r="M926" i="1"/>
  <c r="M920" i="1"/>
  <c r="M890" i="1"/>
  <c r="M880" i="1"/>
  <c r="M874" i="1"/>
  <c r="M868" i="1"/>
  <c r="M860" i="1"/>
  <c r="M1019" i="1"/>
  <c r="M1007" i="1"/>
  <c r="M993" i="1"/>
  <c r="M991" i="1"/>
  <c r="M985" i="1"/>
  <c r="M971" i="1"/>
  <c r="M957" i="1"/>
  <c r="M915" i="1"/>
  <c r="M907" i="1"/>
  <c r="M848" i="1"/>
  <c r="M844" i="1"/>
  <c r="M834" i="1"/>
  <c r="M828" i="1"/>
  <c r="M822" i="1"/>
  <c r="M804" i="1"/>
  <c r="M802" i="1"/>
  <c r="M796" i="1"/>
  <c r="M784" i="1"/>
  <c r="M776" i="1"/>
  <c r="M770" i="1"/>
  <c r="M764" i="1"/>
  <c r="M901" i="1"/>
  <c r="M885" i="1"/>
  <c r="M855" i="1"/>
  <c r="M815" i="1"/>
  <c r="M809" i="1"/>
  <c r="M793" i="1"/>
  <c r="M759" i="1"/>
  <c r="M704" i="1"/>
  <c r="M752" i="1"/>
  <c r="M895" i="1"/>
  <c r="M756" i="1"/>
  <c r="M745" i="1"/>
  <c r="M739" i="1"/>
  <c r="M733" i="1"/>
  <c r="M725" i="1"/>
  <c r="M717" i="1"/>
  <c r="M711" i="1"/>
  <c r="M693" i="1"/>
  <c r="M689" i="1"/>
  <c r="M681" i="1"/>
  <c r="M673" i="1"/>
  <c r="M667" i="1"/>
  <c r="M659" i="1"/>
  <c r="M653" i="1"/>
  <c r="M643" i="1"/>
  <c r="M637" i="1"/>
  <c r="M633" i="1"/>
  <c r="M627" i="1"/>
  <c r="M650" i="1"/>
  <c r="M621" i="1"/>
  <c r="M613" i="1"/>
  <c r="M597" i="1"/>
  <c r="M587" i="1"/>
  <c r="M581" i="1"/>
  <c r="M636" i="1"/>
  <c r="M572" i="1"/>
  <c r="M566" i="1"/>
  <c r="M528" i="1"/>
  <c r="M513" i="1"/>
  <c r="M606" i="1"/>
  <c r="M503" i="1"/>
  <c r="M486" i="1"/>
  <c r="M479" i="1"/>
  <c r="M592" i="1"/>
  <c r="M551" i="1"/>
  <c r="M545" i="1"/>
  <c r="M539" i="1"/>
  <c r="M536" i="1"/>
  <c r="M524" i="1"/>
  <c r="M464" i="1"/>
  <c r="M444" i="1"/>
  <c r="M438" i="1"/>
  <c r="M416" i="1"/>
  <c r="M574" i="1"/>
  <c r="M559" i="1"/>
  <c r="M497" i="1"/>
  <c r="M468" i="1"/>
  <c r="M610" i="1"/>
  <c r="M518" i="1"/>
  <c r="M506" i="1"/>
  <c r="M475" i="1"/>
  <c r="M423" i="1"/>
  <c r="M411" i="1"/>
  <c r="M198" i="1"/>
  <c r="M182" i="1"/>
  <c r="M158" i="1"/>
  <c r="M152" i="1"/>
  <c r="M148" i="1"/>
  <c r="M140" i="1"/>
  <c r="M134" i="1"/>
  <c r="M118" i="1"/>
  <c r="M114" i="1"/>
  <c r="M401" i="1"/>
  <c r="M377" i="1"/>
  <c r="M365" i="1"/>
  <c r="M357" i="1"/>
  <c r="M313" i="1"/>
  <c r="M303" i="1"/>
  <c r="M267" i="1"/>
  <c r="M260" i="1"/>
  <c r="M248" i="1"/>
  <c r="M458" i="1"/>
  <c r="M451" i="1"/>
  <c r="M384" i="1"/>
  <c r="M372" i="1"/>
  <c r="M360" i="1"/>
  <c r="M340" i="1"/>
  <c r="M332" i="1"/>
  <c r="M324" i="1"/>
  <c r="M226" i="1"/>
  <c r="M490" i="1"/>
  <c r="M295" i="1"/>
  <c r="M276" i="1"/>
  <c r="M219" i="1"/>
  <c r="M211" i="1"/>
  <c r="M431" i="1"/>
  <c r="M395" i="1"/>
  <c r="M387" i="1"/>
  <c r="M351" i="1"/>
  <c r="M319" i="1"/>
  <c r="M273" i="1"/>
  <c r="M254" i="1"/>
  <c r="M232" i="1"/>
  <c r="M207" i="1"/>
  <c r="M189" i="1"/>
  <c r="M177" i="1"/>
  <c r="M287" i="1"/>
  <c r="M127" i="1"/>
  <c r="M109" i="1"/>
  <c r="M96" i="1"/>
  <c r="M90" i="1"/>
  <c r="M84" i="1"/>
  <c r="M78" i="1"/>
  <c r="M74" i="1"/>
  <c r="M72" i="1"/>
  <c r="M54" i="1"/>
  <c r="M38" i="1"/>
  <c r="M239" i="1"/>
  <c r="M171" i="1"/>
  <c r="M165" i="1"/>
  <c r="M406" i="1"/>
  <c r="M310" i="1"/>
  <c r="M280" i="1"/>
  <c r="M103" i="1"/>
  <c r="M65" i="1"/>
  <c r="M61" i="1"/>
  <c r="M49" i="1"/>
  <c r="R1003" i="1"/>
  <c r="R979" i="1"/>
  <c r="R902" i="1"/>
  <c r="R886" i="1"/>
  <c r="R816" i="1"/>
  <c r="R790" i="1"/>
  <c r="R1020" i="1"/>
  <c r="R1008" i="1"/>
  <c r="R972" i="1"/>
  <c r="R966" i="1"/>
  <c r="R960" i="1"/>
  <c r="R869" i="1"/>
  <c r="R1013" i="1"/>
  <c r="R995" i="1"/>
  <c r="R929" i="1"/>
  <c r="R856" i="1"/>
  <c r="R958" i="1"/>
  <c r="R916" i="1"/>
  <c r="R896" i="1"/>
  <c r="R861" i="1"/>
  <c r="R849" i="1"/>
  <c r="R835" i="1"/>
  <c r="R829" i="1"/>
  <c r="R811" i="1"/>
  <c r="R805" i="1"/>
  <c r="R951" i="1"/>
  <c r="R945" i="1"/>
  <c r="R939" i="1"/>
  <c r="R933" i="1"/>
  <c r="R909" i="1"/>
  <c r="R891" i="1"/>
  <c r="R875" i="1"/>
  <c r="R746" i="1"/>
  <c r="R740" i="1"/>
  <c r="R706" i="1"/>
  <c r="R700" i="1"/>
  <c r="R694" i="1"/>
  <c r="R690" i="1"/>
  <c r="R682" i="1"/>
  <c r="R668" i="1"/>
  <c r="R654" i="1"/>
  <c r="R644" i="1"/>
  <c r="R638" i="1"/>
  <c r="R634" i="1"/>
  <c r="R628" i="1"/>
  <c r="R785" i="1"/>
  <c r="R777" i="1"/>
  <c r="R765" i="1"/>
  <c r="R757" i="1"/>
  <c r="R735" i="1"/>
  <c r="R727" i="1"/>
  <c r="R771" i="1"/>
  <c r="R986" i="1"/>
  <c r="R719" i="1"/>
  <c r="R713" i="1"/>
  <c r="R611" i="1"/>
  <c r="R599" i="1"/>
  <c r="R593" i="1"/>
  <c r="R575" i="1"/>
  <c r="R553" i="1"/>
  <c r="R537" i="1"/>
  <c r="R529" i="1"/>
  <c r="R525" i="1"/>
  <c r="R661" i="1"/>
  <c r="R622" i="1"/>
  <c r="R614" i="1"/>
  <c r="R608" i="1"/>
  <c r="R588" i="1"/>
  <c r="R582" i="1"/>
  <c r="R560" i="1"/>
  <c r="R546" i="1"/>
  <c r="R540" i="1"/>
  <c r="R514" i="1"/>
  <c r="R504" i="1"/>
  <c r="R498" i="1"/>
  <c r="R480" i="1"/>
  <c r="R476" i="1"/>
  <c r="R452" i="1"/>
  <c r="R491" i="1"/>
  <c r="R687" i="1"/>
  <c r="R651" i="1"/>
  <c r="R469" i="1"/>
  <c r="R440" i="1"/>
  <c r="R432" i="1"/>
  <c r="R424" i="1"/>
  <c r="R418" i="1"/>
  <c r="R412" i="1"/>
  <c r="R378" i="1"/>
  <c r="R366" i="1"/>
  <c r="R348" i="1"/>
  <c r="R336" i="1"/>
  <c r="R330" i="1"/>
  <c r="R320" i="1"/>
  <c r="R314" i="1"/>
  <c r="R760" i="1"/>
  <c r="R519" i="1"/>
  <c r="R507" i="1"/>
  <c r="R459" i="1"/>
  <c r="R487" i="1"/>
  <c r="R445" i="1"/>
  <c r="R429" i="1"/>
  <c r="R397" i="1"/>
  <c r="R389" i="1"/>
  <c r="R361" i="1"/>
  <c r="R341" i="1"/>
  <c r="R333" i="1"/>
  <c r="R325" i="1"/>
  <c r="R311" i="1"/>
  <c r="R289" i="1"/>
  <c r="R277" i="1"/>
  <c r="R255" i="1"/>
  <c r="R249" i="1"/>
  <c r="R243" i="1"/>
  <c r="R233" i="1"/>
  <c r="R675" i="1"/>
  <c r="R296" i="1"/>
  <c r="R262" i="1"/>
  <c r="R465" i="1"/>
  <c r="R240" i="1"/>
  <c r="R228" i="1"/>
  <c r="R221" i="1"/>
  <c r="R213" i="1"/>
  <c r="R191" i="1"/>
  <c r="R183" i="1"/>
  <c r="R173" i="1"/>
  <c r="R304" i="1"/>
  <c r="R268" i="1"/>
  <c r="R208" i="1"/>
  <c r="R166" i="1"/>
  <c r="R160" i="1"/>
  <c r="R142" i="1"/>
  <c r="R92" i="1"/>
  <c r="R66" i="1"/>
  <c r="R64" i="1"/>
  <c r="R62" i="1"/>
  <c r="R50" i="1"/>
  <c r="R44" i="1"/>
  <c r="R200" i="1"/>
  <c r="R104" i="1"/>
  <c r="R135" i="1"/>
  <c r="R282" i="1"/>
  <c r="R120" i="1"/>
  <c r="R115" i="1"/>
  <c r="R97" i="1"/>
  <c r="R85" i="1"/>
  <c r="R79" i="1"/>
  <c r="R75" i="1"/>
  <c r="R55" i="1"/>
  <c r="R39" i="1"/>
  <c r="R33" i="1"/>
  <c r="R178" i="1"/>
  <c r="R149" i="1"/>
  <c r="R128" i="1"/>
  <c r="R110" i="1"/>
  <c r="AA7" i="1"/>
  <c r="R9" i="1"/>
  <c r="H1024" i="1"/>
  <c r="H1010" i="1"/>
  <c r="H1000" i="1"/>
  <c r="H990" i="1"/>
  <c r="H984" i="1"/>
  <c r="H970" i="1"/>
  <c r="H962" i="1"/>
  <c r="H956" i="1"/>
  <c r="H942" i="1"/>
  <c r="H900" i="1"/>
  <c r="H894" i="1"/>
  <c r="H878" i="1"/>
  <c r="H866" i="1"/>
  <c r="H1017" i="1"/>
  <c r="H977" i="1"/>
  <c r="H959" i="1"/>
  <c r="H949" i="1"/>
  <c r="H937" i="1"/>
  <c r="H931" i="1"/>
  <c r="H913" i="1"/>
  <c r="H905" i="1"/>
  <c r="H889" i="1"/>
  <c r="H859" i="1"/>
  <c r="H847" i="1"/>
  <c r="H782" i="1"/>
  <c r="H758" i="1"/>
  <c r="H833" i="1"/>
  <c r="H819" i="1"/>
  <c r="H807" i="1"/>
  <c r="H769" i="1"/>
  <c r="H750" i="1"/>
  <c r="H744" i="1"/>
  <c r="H702" i="1"/>
  <c r="H853" i="1"/>
  <c r="H839" i="1"/>
  <c r="H699" i="1"/>
  <c r="H657" i="1"/>
  <c r="H648" i="1"/>
  <c r="H642" i="1"/>
  <c r="H612" i="1"/>
  <c r="H604" i="1"/>
  <c r="H590" i="1"/>
  <c r="H586" i="1"/>
  <c r="H775" i="1"/>
  <c r="H731" i="1"/>
  <c r="H692" i="1"/>
  <c r="H686" i="1"/>
  <c r="H671" i="1"/>
  <c r="H635" i="1"/>
  <c r="H632" i="1"/>
  <c r="H619" i="1"/>
  <c r="H609" i="1"/>
  <c r="H789" i="1"/>
  <c r="H763" i="1"/>
  <c r="H688" i="1"/>
  <c r="H679" i="1"/>
  <c r="H652" i="1"/>
  <c r="H625" i="1"/>
  <c r="H523" i="1"/>
  <c r="H511" i="1"/>
  <c r="H463" i="1"/>
  <c r="H393" i="1"/>
  <c r="H339" i="1"/>
  <c r="H329" i="1"/>
  <c r="H323" i="1"/>
  <c r="H549" i="1"/>
  <c r="H489" i="1"/>
  <c r="H467" i="1"/>
  <c r="H502" i="1"/>
  <c r="H495" i="1"/>
  <c r="H723" i="1"/>
  <c r="H580" i="1"/>
  <c r="H544" i="1"/>
  <c r="H538" i="1"/>
  <c r="H485" i="1"/>
  <c r="H473" i="1"/>
  <c r="H564" i="1"/>
  <c r="H527" i="1"/>
  <c r="H382" i="1"/>
  <c r="H370" i="1"/>
  <c r="H346" i="1"/>
  <c r="H318" i="1"/>
  <c r="H428" i="1"/>
  <c r="H422" i="1"/>
  <c r="H301" i="1"/>
  <c r="H294" i="1"/>
  <c r="H258" i="1"/>
  <c r="H253" i="1"/>
  <c r="H557" i="1"/>
  <c r="H272" i="1"/>
  <c r="H505" i="1"/>
  <c r="H457" i="1"/>
  <c r="H450" i="1"/>
  <c r="H364" i="1"/>
  <c r="H312" i="1"/>
  <c r="H247" i="1"/>
  <c r="H205" i="1"/>
  <c r="H187" i="1"/>
  <c r="H181" i="1"/>
  <c r="H169" i="1"/>
  <c r="H436" i="1"/>
  <c r="H164" i="1"/>
  <c r="H146" i="1"/>
  <c r="H101" i="1"/>
  <c r="H77" i="1"/>
  <c r="H59" i="1"/>
  <c r="H53" i="1"/>
  <c r="H124" i="1"/>
  <c r="H530" i="1"/>
  <c r="H196" i="1"/>
  <c r="H116" i="1"/>
  <c r="H82" i="1"/>
  <c r="H70" i="1"/>
  <c r="H48" i="1"/>
  <c r="H42" i="1"/>
  <c r="H132" i="1"/>
  <c r="H266" i="1"/>
  <c r="H237" i="1"/>
  <c r="H113" i="1"/>
  <c r="H108" i="1"/>
  <c r="M1022" i="1"/>
  <c r="M988" i="1"/>
  <c r="M974" i="1"/>
  <c r="M968" i="1"/>
  <c r="M918" i="1"/>
  <c r="M904" i="1"/>
  <c r="M898" i="1"/>
  <c r="M892" i="1"/>
  <c r="M1015" i="1"/>
  <c r="M1005" i="1"/>
  <c r="M997" i="1"/>
  <c r="M981" i="1"/>
  <c r="M953" i="1"/>
  <c r="M947" i="1"/>
  <c r="M935" i="1"/>
  <c r="M923" i="1"/>
  <c r="M911" i="1"/>
  <c r="M863" i="1"/>
  <c r="M851" i="1"/>
  <c r="M837" i="1"/>
  <c r="M831" i="1"/>
  <c r="M817" i="1"/>
  <c r="M813" i="1"/>
  <c r="M787" i="1"/>
  <c r="M779" i="1"/>
  <c r="M773" i="1"/>
  <c r="M767" i="1"/>
  <c r="M883" i="1"/>
  <c r="M762" i="1"/>
  <c r="M742" i="1"/>
  <c r="M708" i="1"/>
  <c r="M871" i="1"/>
  <c r="M737" i="1"/>
  <c r="M729" i="1"/>
  <c r="M721" i="1"/>
  <c r="M677" i="1"/>
  <c r="M663" i="1"/>
  <c r="M656" i="1"/>
  <c r="M601" i="1"/>
  <c r="M577" i="1"/>
  <c r="M569" i="1"/>
  <c r="M646" i="1"/>
  <c r="M640" i="1"/>
  <c r="M584" i="1"/>
  <c r="M555" i="1"/>
  <c r="M534" i="1"/>
  <c r="M684" i="1"/>
  <c r="M630" i="1"/>
  <c r="M616" i="1"/>
  <c r="M542" i="1"/>
  <c r="M500" i="1"/>
  <c r="M493" i="1"/>
  <c r="M488" i="1"/>
  <c r="M442" i="1"/>
  <c r="M434" i="1"/>
  <c r="M426" i="1"/>
  <c r="M420" i="1"/>
  <c r="M408" i="1"/>
  <c r="M696" i="1"/>
  <c r="M562" i="1"/>
  <c r="M521" i="1"/>
  <c r="M516" i="1"/>
  <c r="M509" i="1"/>
  <c r="M461" i="1"/>
  <c r="M482" i="1"/>
  <c r="M447" i="1"/>
  <c r="M306" i="1"/>
  <c r="M270" i="1"/>
  <c r="M202" i="1"/>
  <c r="M162" i="1"/>
  <c r="M144" i="1"/>
  <c r="M130" i="1"/>
  <c r="M122" i="1"/>
  <c r="M106" i="1"/>
  <c r="M291" i="1"/>
  <c r="M380" i="1"/>
  <c r="M368" i="1"/>
  <c r="M316" i="1"/>
  <c r="M298" i="1"/>
  <c r="M257" i="1"/>
  <c r="M245" i="1"/>
  <c r="M264" i="1"/>
  <c r="M235" i="1"/>
  <c r="M223" i="1"/>
  <c r="M391" i="1"/>
  <c r="M375" i="1"/>
  <c r="M343" i="1"/>
  <c r="M327" i="1"/>
  <c r="M230" i="1"/>
  <c r="M354" i="1"/>
  <c r="M167" i="1"/>
  <c r="M155" i="1"/>
  <c r="M137" i="1"/>
  <c r="M471" i="1"/>
  <c r="M193" i="1"/>
  <c r="M185" i="1"/>
  <c r="M94" i="1"/>
  <c r="M68" i="1"/>
  <c r="M46" i="1"/>
  <c r="M454" i="1"/>
  <c r="M111" i="1"/>
  <c r="M362" i="1"/>
  <c r="M251" i="1"/>
  <c r="M99" i="1"/>
  <c r="M87" i="1"/>
  <c r="M57" i="1"/>
  <c r="M51" i="1"/>
  <c r="R943" i="1"/>
  <c r="R925" i="1"/>
  <c r="R919" i="1"/>
  <c r="R854" i="1"/>
  <c r="R840" i="1"/>
  <c r="R826" i="1"/>
  <c r="R820" i="1"/>
  <c r="R808" i="1"/>
  <c r="R792" i="1"/>
  <c r="R924" i="1"/>
  <c r="R906" i="1"/>
  <c r="R873" i="1"/>
  <c r="R1001" i="1"/>
  <c r="R1018" i="1"/>
  <c r="R843" i="1"/>
  <c r="R821" i="1"/>
  <c r="R801" i="1"/>
  <c r="R799" i="1"/>
  <c r="R795" i="1"/>
  <c r="R1011" i="1"/>
  <c r="R963" i="1"/>
  <c r="R879" i="1"/>
  <c r="R867" i="1"/>
  <c r="R755" i="1"/>
  <c r="R732" i="1"/>
  <c r="R724" i="1"/>
  <c r="R716" i="1"/>
  <c r="R710" i="1"/>
  <c r="R680" i="1"/>
  <c r="R672" i="1"/>
  <c r="R666" i="1"/>
  <c r="R658" i="1"/>
  <c r="R626" i="1"/>
  <c r="R992" i="1"/>
  <c r="R783" i="1"/>
  <c r="R751" i="1"/>
  <c r="R605" i="1"/>
  <c r="R591" i="1"/>
  <c r="R573" i="1"/>
  <c r="R571" i="1"/>
  <c r="R565" i="1"/>
  <c r="R531" i="1"/>
  <c r="R914" i="1"/>
  <c r="R649" i="1"/>
  <c r="R620" i="1"/>
  <c r="R596" i="1"/>
  <c r="R558" i="1"/>
  <c r="R550" i="1"/>
  <c r="R512" i="1"/>
  <c r="R496" i="1"/>
  <c r="R474" i="1"/>
  <c r="R430" i="1"/>
  <c r="R410" i="1"/>
  <c r="R400" i="1"/>
  <c r="R394" i="1"/>
  <c r="R386" i="1"/>
  <c r="R356" i="1"/>
  <c r="R350" i="1"/>
  <c r="R308" i="1"/>
  <c r="R703" i="1"/>
  <c r="R437" i="1"/>
  <c r="R415" i="1"/>
  <c r="R405" i="1"/>
  <c r="R383" i="1"/>
  <c r="R371" i="1"/>
  <c r="R347" i="1"/>
  <c r="R331" i="1"/>
  <c r="R279" i="1"/>
  <c r="R275" i="1"/>
  <c r="R259" i="1"/>
  <c r="R225" i="1"/>
  <c r="R286" i="1"/>
  <c r="R238" i="1"/>
  <c r="R217" i="1"/>
  <c r="R197" i="1"/>
  <c r="R302" i="1"/>
  <c r="R218" i="1"/>
  <c r="R157" i="1"/>
  <c r="R151" i="1"/>
  <c r="R139" i="1"/>
  <c r="R133" i="1"/>
  <c r="R102" i="1"/>
  <c r="R60" i="1"/>
  <c r="R206" i="1"/>
  <c r="R188" i="1"/>
  <c r="R176" i="1"/>
  <c r="R147" i="1"/>
  <c r="R89" i="1"/>
  <c r="R83" i="1"/>
  <c r="R71" i="1"/>
  <c r="R210" i="1"/>
  <c r="R170" i="1"/>
  <c r="R125" i="1"/>
  <c r="R117" i="1"/>
  <c r="H13" i="1"/>
  <c r="M16" i="1"/>
  <c r="M18" i="1"/>
  <c r="M22" i="1"/>
  <c r="M26" i="1"/>
  <c r="M28" i="1"/>
  <c r="M33" i="1"/>
  <c r="M39" i="1"/>
  <c r="M41" i="1"/>
  <c r="M1014" i="1"/>
  <c r="M1004" i="1"/>
  <c r="M996" i="1"/>
  <c r="M980" i="1"/>
  <c r="M952" i="1"/>
  <c r="M946" i="1"/>
  <c r="M940" i="1"/>
  <c r="M934" i="1"/>
  <c r="M922" i="1"/>
  <c r="M910" i="1"/>
  <c r="M882" i="1"/>
  <c r="M876" i="1"/>
  <c r="M870" i="1"/>
  <c r="M862" i="1"/>
  <c r="M1021" i="1"/>
  <c r="M987" i="1"/>
  <c r="M973" i="1"/>
  <c r="M967" i="1"/>
  <c r="M927" i="1"/>
  <c r="M917" i="1"/>
  <c r="M857" i="1"/>
  <c r="M850" i="1"/>
  <c r="M842" i="1"/>
  <c r="M836" i="1"/>
  <c r="M830" i="1"/>
  <c r="M824" i="1"/>
  <c r="M812" i="1"/>
  <c r="M806" i="1"/>
  <c r="M786" i="1"/>
  <c r="M778" i="1"/>
  <c r="M772" i="1"/>
  <c r="M766" i="1"/>
  <c r="M897" i="1"/>
  <c r="M845" i="1"/>
  <c r="M797" i="1"/>
  <c r="M761" i="1"/>
  <c r="M753" i="1"/>
  <c r="M903" i="1"/>
  <c r="M736" i="1"/>
  <c r="M728" i="1"/>
  <c r="M720" i="1"/>
  <c r="M714" i="1"/>
  <c r="M747" i="1"/>
  <c r="M741" i="1"/>
  <c r="M707" i="1"/>
  <c r="M695" i="1"/>
  <c r="M683" i="1"/>
  <c r="M669" i="1"/>
  <c r="M655" i="1"/>
  <c r="M645" i="1"/>
  <c r="M639" i="1"/>
  <c r="M629" i="1"/>
  <c r="M623" i="1"/>
  <c r="M662" i="1"/>
  <c r="M615" i="1"/>
  <c r="M607" i="1"/>
  <c r="M589" i="1"/>
  <c r="M583" i="1"/>
  <c r="M887" i="1"/>
  <c r="M676" i="1"/>
  <c r="M561" i="1"/>
  <c r="M520" i="1"/>
  <c r="M508" i="1"/>
  <c r="M477" i="1"/>
  <c r="M460" i="1"/>
  <c r="M453" i="1"/>
  <c r="M594" i="1"/>
  <c r="M515" i="1"/>
  <c r="M576" i="1"/>
  <c r="M554" i="1"/>
  <c r="M533" i="1"/>
  <c r="M481" i="1"/>
  <c r="M446" i="1"/>
  <c r="M600" i="1"/>
  <c r="M568" i="1"/>
  <c r="M547" i="1"/>
  <c r="M541" i="1"/>
  <c r="M492" i="1"/>
  <c r="M499" i="1"/>
  <c r="M470" i="1"/>
  <c r="M441" i="1"/>
  <c r="M241" i="1"/>
  <c r="M234" i="1"/>
  <c r="M229" i="1"/>
  <c r="M222" i="1"/>
  <c r="M214" i="1"/>
  <c r="M192" i="1"/>
  <c r="M184" i="1"/>
  <c r="M174" i="1"/>
  <c r="M154" i="1"/>
  <c r="M136" i="1"/>
  <c r="M126" i="1"/>
  <c r="M353" i="1"/>
  <c r="M337" i="1"/>
  <c r="M321" i="1"/>
  <c r="M433" i="1"/>
  <c r="M305" i="1"/>
  <c r="M269" i="1"/>
  <c r="M250" i="1"/>
  <c r="M283" i="1"/>
  <c r="M209" i="1"/>
  <c r="M425" i="1"/>
  <c r="M419" i="1"/>
  <c r="M413" i="1"/>
  <c r="M407" i="1"/>
  <c r="M403" i="1"/>
  <c r="M379" i="1"/>
  <c r="M367" i="1"/>
  <c r="M359" i="1"/>
  <c r="M315" i="1"/>
  <c r="M297" i="1"/>
  <c r="M290" i="1"/>
  <c r="M263" i="1"/>
  <c r="M161" i="1"/>
  <c r="M143" i="1"/>
  <c r="M105" i="1"/>
  <c r="M398" i="1"/>
  <c r="M374" i="1"/>
  <c r="M326" i="1"/>
  <c r="M201" i="1"/>
  <c r="M244" i="1"/>
  <c r="M121" i="1"/>
  <c r="M98" i="1"/>
  <c r="M86" i="1"/>
  <c r="M80" i="1"/>
  <c r="M56" i="1"/>
  <c r="M40" i="1"/>
  <c r="M34" i="1"/>
  <c r="M390" i="1"/>
  <c r="M342" i="1"/>
  <c r="M256" i="1"/>
  <c r="M179" i="1"/>
  <c r="M129" i="1"/>
  <c r="M334" i="1"/>
  <c r="M93" i="1"/>
  <c r="M67" i="1"/>
  <c r="M45" i="1"/>
  <c r="R991" i="1"/>
  <c r="R985" i="1"/>
  <c r="R907" i="1"/>
  <c r="R890" i="1"/>
  <c r="R874" i="1"/>
  <c r="R860" i="1"/>
  <c r="R848" i="1"/>
  <c r="R844" i="1"/>
  <c r="R834" i="1"/>
  <c r="R828" i="1"/>
  <c r="R822" i="1"/>
  <c r="R804" i="1"/>
  <c r="R802" i="1"/>
  <c r="R796" i="1"/>
  <c r="R784" i="1"/>
  <c r="R776" i="1"/>
  <c r="R770" i="1"/>
  <c r="R764" i="1"/>
  <c r="R1002" i="1"/>
  <c r="R978" i="1"/>
  <c r="R901" i="1"/>
  <c r="R885" i="1"/>
  <c r="R1019" i="1"/>
  <c r="R1007" i="1"/>
  <c r="R971" i="1"/>
  <c r="R1012" i="1"/>
  <c r="R964" i="1"/>
  <c r="R880" i="1"/>
  <c r="R868" i="1"/>
  <c r="R855" i="1"/>
  <c r="R815" i="1"/>
  <c r="R809" i="1"/>
  <c r="R793" i="1"/>
  <c r="R993" i="1"/>
  <c r="R957" i="1"/>
  <c r="R915" i="1"/>
  <c r="R895" i="1"/>
  <c r="R944" i="1"/>
  <c r="R704" i="1"/>
  <c r="R650" i="1"/>
  <c r="R636" i="1"/>
  <c r="R938" i="1"/>
  <c r="R752" i="1"/>
  <c r="R932" i="1"/>
  <c r="R759" i="1"/>
  <c r="R926" i="1"/>
  <c r="R756" i="1"/>
  <c r="R745" i="1"/>
  <c r="R739" i="1"/>
  <c r="R733" i="1"/>
  <c r="R725" i="1"/>
  <c r="R920" i="1"/>
  <c r="R950" i="1"/>
  <c r="R689" i="1"/>
  <c r="R659" i="1"/>
  <c r="R653" i="1"/>
  <c r="R621" i="1"/>
  <c r="R613" i="1"/>
  <c r="R597" i="1"/>
  <c r="R587" i="1"/>
  <c r="R581" i="1"/>
  <c r="R559" i="1"/>
  <c r="R551" i="1"/>
  <c r="R545" i="1"/>
  <c r="R539" i="1"/>
  <c r="R717" i="1"/>
  <c r="R711" i="1"/>
  <c r="R673" i="1"/>
  <c r="R667" i="1"/>
  <c r="R643" i="1"/>
  <c r="R637" i="1"/>
  <c r="R610" i="1"/>
  <c r="R606" i="1"/>
  <c r="R592" i="1"/>
  <c r="R574" i="1"/>
  <c r="R572" i="1"/>
  <c r="R566" i="1"/>
  <c r="R536" i="1"/>
  <c r="R528" i="1"/>
  <c r="R524" i="1"/>
  <c r="R518" i="1"/>
  <c r="R506" i="1"/>
  <c r="R490" i="1"/>
  <c r="R486" i="1"/>
  <c r="R468" i="1"/>
  <c r="R464" i="1"/>
  <c r="R458" i="1"/>
  <c r="R503" i="1"/>
  <c r="R479" i="1"/>
  <c r="R633" i="1"/>
  <c r="R444" i="1"/>
  <c r="R438" i="1"/>
  <c r="R416" i="1"/>
  <c r="R406" i="1"/>
  <c r="R384" i="1"/>
  <c r="R372" i="1"/>
  <c r="R360" i="1"/>
  <c r="R340" i="1"/>
  <c r="R332" i="1"/>
  <c r="R324" i="1"/>
  <c r="R310" i="1"/>
  <c r="R475" i="1"/>
  <c r="R451" i="1"/>
  <c r="R431" i="1"/>
  <c r="R423" i="1"/>
  <c r="R411" i="1"/>
  <c r="R401" i="1"/>
  <c r="R395" i="1"/>
  <c r="R387" i="1"/>
  <c r="R377" i="1"/>
  <c r="R365" i="1"/>
  <c r="R357" i="1"/>
  <c r="R351" i="1"/>
  <c r="R319" i="1"/>
  <c r="R313" i="1"/>
  <c r="R303" i="1"/>
  <c r="R295" i="1"/>
  <c r="R287" i="1"/>
  <c r="R273" i="1"/>
  <c r="R267" i="1"/>
  <c r="R239" i="1"/>
  <c r="R693" i="1"/>
  <c r="R513" i="1"/>
  <c r="R497" i="1"/>
  <c r="R260" i="1"/>
  <c r="R248" i="1"/>
  <c r="R226" i="1"/>
  <c r="R681" i="1"/>
  <c r="R276" i="1"/>
  <c r="R219" i="1"/>
  <c r="R211" i="1"/>
  <c r="R207" i="1"/>
  <c r="R189" i="1"/>
  <c r="R177" i="1"/>
  <c r="R171" i="1"/>
  <c r="R254" i="1"/>
  <c r="R280" i="1"/>
  <c r="R232" i="1"/>
  <c r="R627" i="1"/>
  <c r="R148" i="1"/>
  <c r="R127" i="1"/>
  <c r="R114" i="1"/>
  <c r="R109" i="1"/>
  <c r="R96" i="1"/>
  <c r="R90" i="1"/>
  <c r="R84" i="1"/>
  <c r="R78" i="1"/>
  <c r="R74" i="1"/>
  <c r="R72" i="1"/>
  <c r="R54" i="1"/>
  <c r="R38" i="1"/>
  <c r="R165" i="1"/>
  <c r="R118" i="1"/>
  <c r="R103" i="1"/>
  <c r="R65" i="1"/>
  <c r="R61" i="1"/>
  <c r="R49" i="1"/>
  <c r="R43" i="1"/>
  <c r="R198" i="1"/>
  <c r="R182" i="1"/>
  <c r="R158" i="1"/>
  <c r="R152" i="1"/>
  <c r="R140" i="1"/>
  <c r="R134" i="1"/>
  <c r="AA6" i="1"/>
  <c r="H1016" i="1"/>
  <c r="H1006" i="1"/>
  <c r="H976" i="1"/>
  <c r="H948" i="1"/>
  <c r="H928" i="1"/>
  <c r="H912" i="1"/>
  <c r="H884" i="1"/>
  <c r="H872" i="1"/>
  <c r="H858" i="1"/>
  <c r="H1023" i="1"/>
  <c r="H1009" i="1"/>
  <c r="H999" i="1"/>
  <c r="H983" i="1"/>
  <c r="H969" i="1"/>
  <c r="H955" i="1"/>
  <c r="H877" i="1"/>
  <c r="H852" i="1"/>
  <c r="H846" i="1"/>
  <c r="H814" i="1"/>
  <c r="H800" i="1"/>
  <c r="H798" i="1"/>
  <c r="H794" i="1"/>
  <c r="H788" i="1"/>
  <c r="H865" i="1"/>
  <c r="H781" i="1"/>
  <c r="H738" i="1"/>
  <c r="H730" i="1"/>
  <c r="H722" i="1"/>
  <c r="H827" i="1"/>
  <c r="H791" i="1"/>
  <c r="H754" i="1"/>
  <c r="H715" i="1"/>
  <c r="H709" i="1"/>
  <c r="H678" i="1"/>
  <c r="H618" i="1"/>
  <c r="H825" i="1"/>
  <c r="H624" i="1"/>
  <c r="H698" i="1"/>
  <c r="H665" i="1"/>
  <c r="H641" i="1"/>
  <c r="H603" i="1"/>
  <c r="H595" i="1"/>
  <c r="H579" i="1"/>
  <c r="H563" i="1"/>
  <c r="H749" i="1"/>
  <c r="H691" i="1"/>
  <c r="H670" i="1"/>
  <c r="H631" i="1"/>
  <c r="H449" i="1"/>
  <c r="H443" i="1"/>
  <c r="H435" i="1"/>
  <c r="H421" i="1"/>
  <c r="H409" i="1"/>
  <c r="H399" i="1"/>
  <c r="H385" i="1"/>
  <c r="H355" i="1"/>
  <c r="H349" i="1"/>
  <c r="H345" i="1"/>
  <c r="H335" i="1"/>
  <c r="H307" i="1"/>
  <c r="H501" i="1"/>
  <c r="H484" i="1"/>
  <c r="H478" i="1"/>
  <c r="H556" i="1"/>
  <c r="H535" i="1"/>
  <c r="H322" i="1"/>
  <c r="H265" i="1"/>
  <c r="H216" i="1"/>
  <c r="H204" i="1"/>
  <c r="H231" i="1"/>
  <c r="H224" i="1"/>
  <c r="H414" i="1"/>
  <c r="H404" i="1"/>
  <c r="H392" i="1"/>
  <c r="H376" i="1"/>
  <c r="H328" i="1"/>
  <c r="H293" i="1"/>
  <c r="H274" i="1"/>
  <c r="H517" i="1"/>
  <c r="H456" i="1"/>
  <c r="H300" i="1"/>
  <c r="H195" i="1"/>
  <c r="H175" i="1"/>
  <c r="H163" i="1"/>
  <c r="H145" i="1"/>
  <c r="H123" i="1"/>
  <c r="H278" i="1"/>
  <c r="H95" i="1"/>
  <c r="H73" i="1"/>
  <c r="H69" i="1"/>
  <c r="H63" i="1"/>
  <c r="H47" i="1"/>
  <c r="H570" i="1"/>
  <c r="H107" i="1"/>
  <c r="H285" i="1"/>
  <c r="H242" i="1"/>
  <c r="H180" i="1"/>
  <c r="H100" i="1"/>
  <c r="H88" i="1"/>
  <c r="H36" i="1"/>
  <c r="H156" i="1"/>
  <c r="H150" i="1"/>
  <c r="H138" i="1"/>
  <c r="M1024" i="1"/>
  <c r="M1010" i="1"/>
  <c r="M1000" i="1"/>
  <c r="M990" i="1"/>
  <c r="M984" i="1"/>
  <c r="M970" i="1"/>
  <c r="M962" i="1"/>
  <c r="M956" i="1"/>
  <c r="M942" i="1"/>
  <c r="M900" i="1"/>
  <c r="M894" i="1"/>
  <c r="M878" i="1"/>
  <c r="M866" i="1"/>
  <c r="M1017" i="1"/>
  <c r="M977" i="1"/>
  <c r="M959" i="1"/>
  <c r="M949" i="1"/>
  <c r="M937" i="1"/>
  <c r="M931" i="1"/>
  <c r="M913" i="1"/>
  <c r="M905" i="1"/>
  <c r="M782" i="1"/>
  <c r="M889" i="1"/>
  <c r="M859" i="1"/>
  <c r="M853" i="1"/>
  <c r="M847" i="1"/>
  <c r="M839" i="1"/>
  <c r="M833" i="1"/>
  <c r="M819" i="1"/>
  <c r="M807" i="1"/>
  <c r="M789" i="1"/>
  <c r="M775" i="1"/>
  <c r="M769" i="1"/>
  <c r="M763" i="1"/>
  <c r="M750" i="1"/>
  <c r="M744" i="1"/>
  <c r="M702" i="1"/>
  <c r="M731" i="1"/>
  <c r="M723" i="1"/>
  <c r="M699" i="1"/>
  <c r="M679" i="1"/>
  <c r="M671" i="1"/>
  <c r="M657" i="1"/>
  <c r="M635" i="1"/>
  <c r="M625" i="1"/>
  <c r="M758" i="1"/>
  <c r="M692" i="1"/>
  <c r="M686" i="1"/>
  <c r="M632" i="1"/>
  <c r="M619" i="1"/>
  <c r="M609" i="1"/>
  <c r="M688" i="1"/>
  <c r="M652" i="1"/>
  <c r="M549" i="1"/>
  <c r="M489" i="1"/>
  <c r="M467" i="1"/>
  <c r="M648" i="1"/>
  <c r="M604" i="1"/>
  <c r="M564" i="1"/>
  <c r="M557" i="1"/>
  <c r="M530" i="1"/>
  <c r="M527" i="1"/>
  <c r="M505" i="1"/>
  <c r="M457" i="1"/>
  <c r="M450" i="1"/>
  <c r="M436" i="1"/>
  <c r="M428" i="1"/>
  <c r="M422" i="1"/>
  <c r="M642" i="1"/>
  <c r="M612" i="1"/>
  <c r="M580" i="1"/>
  <c r="M544" i="1"/>
  <c r="M538" i="1"/>
  <c r="M485" i="1"/>
  <c r="M473" i="1"/>
  <c r="M586" i="1"/>
  <c r="M523" i="1"/>
  <c r="M511" i="1"/>
  <c r="M301" i="1"/>
  <c r="M294" i="1"/>
  <c r="M258" i="1"/>
  <c r="M253" i="1"/>
  <c r="M196" i="1"/>
  <c r="M164" i="1"/>
  <c r="M146" i="1"/>
  <c r="M132" i="1"/>
  <c r="M124" i="1"/>
  <c r="M116" i="1"/>
  <c r="M108" i="1"/>
  <c r="M495" i="1"/>
  <c r="M393" i="1"/>
  <c r="M329" i="1"/>
  <c r="M272" i="1"/>
  <c r="M590" i="1"/>
  <c r="M364" i="1"/>
  <c r="M312" i="1"/>
  <c r="M247" i="1"/>
  <c r="M502" i="1"/>
  <c r="M463" i="1"/>
  <c r="M339" i="1"/>
  <c r="M323" i="1"/>
  <c r="M266" i="1"/>
  <c r="M237" i="1"/>
  <c r="M181" i="1"/>
  <c r="M370" i="1"/>
  <c r="M346" i="1"/>
  <c r="M169" i="1"/>
  <c r="M82" i="1"/>
  <c r="M70" i="1"/>
  <c r="M48" i="1"/>
  <c r="M42" i="1"/>
  <c r="M318" i="1"/>
  <c r="M205" i="1"/>
  <c r="M187" i="1"/>
  <c r="M113" i="1"/>
  <c r="M382" i="1"/>
  <c r="M101" i="1"/>
  <c r="M77" i="1"/>
  <c r="M59" i="1"/>
  <c r="M53" i="1"/>
  <c r="R1022" i="1"/>
  <c r="R1015" i="1"/>
  <c r="R997" i="1"/>
  <c r="R898" i="1"/>
  <c r="R918" i="1"/>
  <c r="R953" i="1"/>
  <c r="R947" i="1"/>
  <c r="R935" i="1"/>
  <c r="R923" i="1"/>
  <c r="R911" i="1"/>
  <c r="R988" i="1"/>
  <c r="R904" i="1"/>
  <c r="R892" i="1"/>
  <c r="R851" i="1"/>
  <c r="R837" i="1"/>
  <c r="R831" i="1"/>
  <c r="R817" i="1"/>
  <c r="R813" i="1"/>
  <c r="R787" i="1"/>
  <c r="R1005" i="1"/>
  <c r="R981" i="1"/>
  <c r="R883" i="1"/>
  <c r="R871" i="1"/>
  <c r="R762" i="1"/>
  <c r="R742" i="1"/>
  <c r="R708" i="1"/>
  <c r="R696" i="1"/>
  <c r="R684" i="1"/>
  <c r="R656" i="1"/>
  <c r="R646" i="1"/>
  <c r="R640" i="1"/>
  <c r="R630" i="1"/>
  <c r="R974" i="1"/>
  <c r="R773" i="1"/>
  <c r="R968" i="1"/>
  <c r="R737" i="1"/>
  <c r="R729" i="1"/>
  <c r="R721" i="1"/>
  <c r="R779" i="1"/>
  <c r="R767" i="1"/>
  <c r="R677" i="1"/>
  <c r="R601" i="1"/>
  <c r="R577" i="1"/>
  <c r="R569" i="1"/>
  <c r="R555" i="1"/>
  <c r="R863" i="1"/>
  <c r="R616" i="1"/>
  <c r="R584" i="1"/>
  <c r="R562" i="1"/>
  <c r="R542" i="1"/>
  <c r="R534" i="1"/>
  <c r="R516" i="1"/>
  <c r="R500" i="1"/>
  <c r="R488" i="1"/>
  <c r="R482" i="1"/>
  <c r="R454" i="1"/>
  <c r="R493" i="1"/>
  <c r="R442" i="1"/>
  <c r="R434" i="1"/>
  <c r="R426" i="1"/>
  <c r="R420" i="1"/>
  <c r="R408" i="1"/>
  <c r="R380" i="1"/>
  <c r="R368" i="1"/>
  <c r="R362" i="1"/>
  <c r="R354" i="1"/>
  <c r="R316" i="1"/>
  <c r="R471" i="1"/>
  <c r="R447" i="1"/>
  <c r="R391" i="1"/>
  <c r="R375" i="1"/>
  <c r="R343" i="1"/>
  <c r="R327" i="1"/>
  <c r="R291" i="1"/>
  <c r="R257" i="1"/>
  <c r="R251" i="1"/>
  <c r="R245" i="1"/>
  <c r="R235" i="1"/>
  <c r="R223" i="1"/>
  <c r="R509" i="1"/>
  <c r="R298" i="1"/>
  <c r="R521" i="1"/>
  <c r="R264" i="1"/>
  <c r="R193" i="1"/>
  <c r="R185" i="1"/>
  <c r="R663" i="1"/>
  <c r="R230" i="1"/>
  <c r="R306" i="1"/>
  <c r="R202" i="1"/>
  <c r="R130" i="1"/>
  <c r="R94" i="1"/>
  <c r="R68" i="1"/>
  <c r="R46" i="1"/>
  <c r="R461" i="1"/>
  <c r="R111" i="1"/>
  <c r="R270" i="1"/>
  <c r="R162" i="1"/>
  <c r="R144" i="1"/>
  <c r="R106" i="1"/>
  <c r="R99" i="1"/>
  <c r="R87" i="1"/>
  <c r="R57" i="1"/>
  <c r="R51" i="1"/>
  <c r="R35" i="1"/>
  <c r="R167" i="1"/>
  <c r="R155" i="1"/>
  <c r="R137" i="1"/>
  <c r="R122" i="1"/>
  <c r="R16" i="1"/>
  <c r="R26" i="1"/>
  <c r="R28" i="1"/>
  <c r="AA32" i="1"/>
  <c r="H35" i="1"/>
  <c r="R961" i="1"/>
  <c r="R838" i="1"/>
  <c r="R832" i="1"/>
  <c r="R818" i="1"/>
  <c r="R780" i="1"/>
  <c r="R774" i="1"/>
  <c r="R768" i="1"/>
  <c r="R954" i="1"/>
  <c r="R936" i="1"/>
  <c r="R930" i="1"/>
  <c r="R893" i="1"/>
  <c r="R989" i="1"/>
  <c r="R941" i="1"/>
  <c r="R982" i="1"/>
  <c r="R888" i="1"/>
  <c r="R975" i="1"/>
  <c r="R899" i="1"/>
  <c r="R864" i="1"/>
  <c r="R748" i="1"/>
  <c r="R664" i="1"/>
  <c r="R998" i="1"/>
  <c r="R743" i="1"/>
  <c r="R701" i="1"/>
  <c r="R647" i="1"/>
  <c r="R617" i="1"/>
  <c r="R585" i="1"/>
  <c r="R543" i="1"/>
  <c r="R697" i="1"/>
  <c r="R685" i="1"/>
  <c r="R602" i="1"/>
  <c r="R578" i="1"/>
  <c r="R548" i="1"/>
  <c r="R526" i="1"/>
  <c r="R522" i="1"/>
  <c r="R510" i="1"/>
  <c r="R494" i="1"/>
  <c r="R472" i="1"/>
  <c r="R466" i="1"/>
  <c r="R462" i="1"/>
  <c r="R455" i="1"/>
  <c r="R448" i="1"/>
  <c r="R344" i="1"/>
  <c r="R338" i="1"/>
  <c r="R483" i="1"/>
  <c r="R427" i="1"/>
  <c r="R381" i="1"/>
  <c r="R369" i="1"/>
  <c r="R363" i="1"/>
  <c r="R317" i="1"/>
  <c r="R299" i="1"/>
  <c r="R271" i="1"/>
  <c r="R284" i="1"/>
  <c r="R236" i="1"/>
  <c r="R252" i="1"/>
  <c r="R215" i="1"/>
  <c r="R203" i="1"/>
  <c r="R292" i="1"/>
  <c r="R112" i="1"/>
  <c r="R246" i="1"/>
  <c r="R76" i="1"/>
  <c r="R58" i="1"/>
  <c r="R52" i="1"/>
  <c r="R168" i="1"/>
  <c r="R81" i="1"/>
  <c r="R41" i="1"/>
  <c r="R194" i="1"/>
  <c r="R186" i="1"/>
  <c r="R131" i="1"/>
  <c r="H1018" i="1"/>
  <c r="H992" i="1"/>
  <c r="H924" i="1"/>
  <c r="H914" i="1"/>
  <c r="H906" i="1"/>
  <c r="H1011" i="1"/>
  <c r="H1001" i="1"/>
  <c r="H963" i="1"/>
  <c r="H943" i="1"/>
  <c r="H925" i="1"/>
  <c r="H919" i="1"/>
  <c r="H879" i="1"/>
  <c r="H873" i="1"/>
  <c r="H867" i="1"/>
  <c r="H854" i="1"/>
  <c r="H840" i="1"/>
  <c r="H826" i="1"/>
  <c r="H820" i="1"/>
  <c r="H808" i="1"/>
  <c r="H792" i="1"/>
  <c r="H799" i="1"/>
  <c r="H821" i="1"/>
  <c r="H755" i="1"/>
  <c r="H843" i="1"/>
  <c r="H795" i="1"/>
  <c r="H732" i="1"/>
  <c r="H724" i="1"/>
  <c r="H716" i="1"/>
  <c r="H710" i="1"/>
  <c r="H703" i="1"/>
  <c r="H672" i="1"/>
  <c r="H666" i="1"/>
  <c r="H620" i="1"/>
  <c r="H596" i="1"/>
  <c r="H680" i="1"/>
  <c r="H626" i="1"/>
  <c r="H801" i="1"/>
  <c r="H751" i="1"/>
  <c r="H605" i="1"/>
  <c r="H591" i="1"/>
  <c r="H573" i="1"/>
  <c r="H571" i="1"/>
  <c r="H565" i="1"/>
  <c r="H658" i="1"/>
  <c r="H649" i="1"/>
  <c r="H437" i="1"/>
  <c r="H415" i="1"/>
  <c r="H405" i="1"/>
  <c r="H383" i="1"/>
  <c r="H371" i="1"/>
  <c r="H347" i="1"/>
  <c r="H331" i="1"/>
  <c r="H783" i="1"/>
  <c r="H558" i="1"/>
  <c r="H531" i="1"/>
  <c r="H496" i="1"/>
  <c r="H474" i="1"/>
  <c r="H550" i="1"/>
  <c r="H512" i="1"/>
  <c r="H394" i="1"/>
  <c r="H386" i="1"/>
  <c r="H350" i="1"/>
  <c r="H275" i="1"/>
  <c r="H410" i="1"/>
  <c r="H218" i="1"/>
  <c r="H210" i="1"/>
  <c r="H206" i="1"/>
  <c r="H279" i="1"/>
  <c r="H400" i="1"/>
  <c r="H356" i="1"/>
  <c r="H308" i="1"/>
  <c r="H286" i="1"/>
  <c r="H238" i="1"/>
  <c r="H259" i="1"/>
  <c r="H217" i="1"/>
  <c r="H197" i="1"/>
  <c r="H157" i="1"/>
  <c r="H151" i="1"/>
  <c r="H147" i="1"/>
  <c r="H139" i="1"/>
  <c r="H133" i="1"/>
  <c r="H125" i="1"/>
  <c r="H170" i="1"/>
  <c r="H89" i="1"/>
  <c r="H83" i="1"/>
  <c r="H71" i="1"/>
  <c r="H430" i="1"/>
  <c r="H117" i="1"/>
  <c r="H302" i="1"/>
  <c r="H188" i="1"/>
  <c r="H176" i="1"/>
  <c r="H102" i="1"/>
  <c r="H60" i="1"/>
  <c r="H225" i="1"/>
  <c r="H5" i="1"/>
  <c r="H998" i="1"/>
  <c r="H982" i="1"/>
  <c r="H954" i="1"/>
  <c r="H936" i="1"/>
  <c r="H930" i="1"/>
  <c r="H888" i="1"/>
  <c r="H864" i="1"/>
  <c r="H989" i="1"/>
  <c r="H975" i="1"/>
  <c r="H961" i="1"/>
  <c r="H941" i="1"/>
  <c r="H899" i="1"/>
  <c r="H893" i="1"/>
  <c r="H838" i="1"/>
  <c r="H832" i="1"/>
  <c r="H818" i="1"/>
  <c r="H774" i="1"/>
  <c r="H748" i="1"/>
  <c r="H780" i="1"/>
  <c r="H768" i="1"/>
  <c r="H602" i="1"/>
  <c r="H743" i="1"/>
  <c r="H701" i="1"/>
  <c r="H647" i="1"/>
  <c r="H617" i="1"/>
  <c r="H585" i="1"/>
  <c r="H697" i="1"/>
  <c r="H685" i="1"/>
  <c r="H664" i="1"/>
  <c r="H494" i="1"/>
  <c r="H427" i="1"/>
  <c r="H381" i="1"/>
  <c r="H369" i="1"/>
  <c r="H363" i="1"/>
  <c r="H317" i="1"/>
  <c r="H578" i="1"/>
  <c r="H543" i="1"/>
  <c r="H472" i="1"/>
  <c r="H522" i="1"/>
  <c r="H510" i="1"/>
  <c r="H462" i="1"/>
  <c r="H455" i="1"/>
  <c r="H483" i="1"/>
  <c r="H466" i="1"/>
  <c r="H526" i="1"/>
  <c r="H338" i="1"/>
  <c r="H299" i="1"/>
  <c r="H292" i="1"/>
  <c r="H246" i="1"/>
  <c r="H284" i="1"/>
  <c r="H236" i="1"/>
  <c r="H344" i="1"/>
  <c r="H271" i="1"/>
  <c r="H252" i="1"/>
  <c r="H215" i="1"/>
  <c r="H203" i="1"/>
  <c r="H131" i="1"/>
  <c r="H194" i="1"/>
  <c r="H186" i="1"/>
  <c r="H81" i="1"/>
  <c r="H112" i="1"/>
  <c r="H548" i="1"/>
  <c r="H76" i="1"/>
  <c r="H58" i="1"/>
  <c r="H52" i="1"/>
  <c r="H448" i="1"/>
  <c r="H168" i="1"/>
  <c r="M1016" i="1"/>
  <c r="M1006" i="1"/>
  <c r="M976" i="1"/>
  <c r="M948" i="1"/>
  <c r="M928" i="1"/>
  <c r="M912" i="1"/>
  <c r="M884" i="1"/>
  <c r="M872" i="1"/>
  <c r="M858" i="1"/>
  <c r="M1023" i="1"/>
  <c r="M1009" i="1"/>
  <c r="M999" i="1"/>
  <c r="M983" i="1"/>
  <c r="M969" i="1"/>
  <c r="M955" i="1"/>
  <c r="M852" i="1"/>
  <c r="M846" i="1"/>
  <c r="M814" i="1"/>
  <c r="M800" i="1"/>
  <c r="M798" i="1"/>
  <c r="M794" i="1"/>
  <c r="M788" i="1"/>
  <c r="M877" i="1"/>
  <c r="M865" i="1"/>
  <c r="M827" i="1"/>
  <c r="M825" i="1"/>
  <c r="M791" i="1"/>
  <c r="M781" i="1"/>
  <c r="M738" i="1"/>
  <c r="M730" i="1"/>
  <c r="M722" i="1"/>
  <c r="M754" i="1"/>
  <c r="M749" i="1"/>
  <c r="M715" i="1"/>
  <c r="M709" i="1"/>
  <c r="M691" i="1"/>
  <c r="M665" i="1"/>
  <c r="M641" i="1"/>
  <c r="M631" i="1"/>
  <c r="M624" i="1"/>
  <c r="M698" i="1"/>
  <c r="M603" i="1"/>
  <c r="M595" i="1"/>
  <c r="M579" i="1"/>
  <c r="M563" i="1"/>
  <c r="M670" i="1"/>
  <c r="M501" i="1"/>
  <c r="M484" i="1"/>
  <c r="M618" i="1"/>
  <c r="M570" i="1"/>
  <c r="M517" i="1"/>
  <c r="M414" i="1"/>
  <c r="M678" i="1"/>
  <c r="M556" i="1"/>
  <c r="M535" i="1"/>
  <c r="M456" i="1"/>
  <c r="M435" i="1"/>
  <c r="M265" i="1"/>
  <c r="M216" i="1"/>
  <c r="M204" i="1"/>
  <c r="M180" i="1"/>
  <c r="M156" i="1"/>
  <c r="M150" i="1"/>
  <c r="M138" i="1"/>
  <c r="M385" i="1"/>
  <c r="M349" i="1"/>
  <c r="M345" i="1"/>
  <c r="M231" i="1"/>
  <c r="M224" i="1"/>
  <c r="M478" i="1"/>
  <c r="M421" i="1"/>
  <c r="M409" i="1"/>
  <c r="M404" i="1"/>
  <c r="M392" i="1"/>
  <c r="M376" i="1"/>
  <c r="M328" i="1"/>
  <c r="M293" i="1"/>
  <c r="M274" i="1"/>
  <c r="M300" i="1"/>
  <c r="M449" i="1"/>
  <c r="M443" i="1"/>
  <c r="M399" i="1"/>
  <c r="M355" i="1"/>
  <c r="M335" i="1"/>
  <c r="M307" i="1"/>
  <c r="M285" i="1"/>
  <c r="M278" i="1"/>
  <c r="M242" i="1"/>
  <c r="M107" i="1"/>
  <c r="M322" i="1"/>
  <c r="M163" i="1"/>
  <c r="M145" i="1"/>
  <c r="M100" i="1"/>
  <c r="M88" i="1"/>
  <c r="M36" i="1"/>
  <c r="M195" i="1"/>
  <c r="M175" i="1"/>
  <c r="M123" i="1"/>
  <c r="M95" i="1"/>
  <c r="M73" i="1"/>
  <c r="M69" i="1"/>
  <c r="M63" i="1"/>
  <c r="M47" i="1"/>
  <c r="R1024" i="1"/>
  <c r="R949" i="1"/>
  <c r="R937" i="1"/>
  <c r="R931" i="1"/>
  <c r="R913" i="1"/>
  <c r="R894" i="1"/>
  <c r="R878" i="1"/>
  <c r="R866" i="1"/>
  <c r="R782" i="1"/>
  <c r="R990" i="1"/>
  <c r="R984" i="1"/>
  <c r="R942" i="1"/>
  <c r="R889" i="1"/>
  <c r="R859" i="1"/>
  <c r="R977" i="1"/>
  <c r="R959" i="1"/>
  <c r="R905" i="1"/>
  <c r="R1000" i="1"/>
  <c r="R970" i="1"/>
  <c r="R900" i="1"/>
  <c r="R853" i="1"/>
  <c r="R847" i="1"/>
  <c r="R839" i="1"/>
  <c r="R833" i="1"/>
  <c r="R819" i="1"/>
  <c r="R807" i="1"/>
  <c r="R789" i="1"/>
  <c r="R1017" i="1"/>
  <c r="R750" i="1"/>
  <c r="R744" i="1"/>
  <c r="R702" i="1"/>
  <c r="R692" i="1"/>
  <c r="R688" i="1"/>
  <c r="R686" i="1"/>
  <c r="R652" i="1"/>
  <c r="R648" i="1"/>
  <c r="R642" i="1"/>
  <c r="R632" i="1"/>
  <c r="R1010" i="1"/>
  <c r="R769" i="1"/>
  <c r="R962" i="1"/>
  <c r="R731" i="1"/>
  <c r="R723" i="1"/>
  <c r="R956" i="1"/>
  <c r="R775" i="1"/>
  <c r="R763" i="1"/>
  <c r="R758" i="1"/>
  <c r="R671" i="1"/>
  <c r="R635" i="1"/>
  <c r="R619" i="1"/>
  <c r="R609" i="1"/>
  <c r="R557" i="1"/>
  <c r="R549" i="1"/>
  <c r="R527" i="1"/>
  <c r="R679" i="1"/>
  <c r="R625" i="1"/>
  <c r="R612" i="1"/>
  <c r="R604" i="1"/>
  <c r="R590" i="1"/>
  <c r="R586" i="1"/>
  <c r="R580" i="1"/>
  <c r="R564" i="1"/>
  <c r="R544" i="1"/>
  <c r="R538" i="1"/>
  <c r="R530" i="1"/>
  <c r="R502" i="1"/>
  <c r="R467" i="1"/>
  <c r="R505" i="1"/>
  <c r="R457" i="1"/>
  <c r="R450" i="1"/>
  <c r="R436" i="1"/>
  <c r="R428" i="1"/>
  <c r="R422" i="1"/>
  <c r="R382" i="1"/>
  <c r="R370" i="1"/>
  <c r="R364" i="1"/>
  <c r="R346" i="1"/>
  <c r="R318" i="1"/>
  <c r="R312" i="1"/>
  <c r="R495" i="1"/>
  <c r="R523" i="1"/>
  <c r="R511" i="1"/>
  <c r="R463" i="1"/>
  <c r="R393" i="1"/>
  <c r="R339" i="1"/>
  <c r="R329" i="1"/>
  <c r="R323" i="1"/>
  <c r="R301" i="1"/>
  <c r="R253" i="1"/>
  <c r="R247" i="1"/>
  <c r="R237" i="1"/>
  <c r="R657" i="1"/>
  <c r="R489" i="1"/>
  <c r="R272" i="1"/>
  <c r="R699" i="1"/>
  <c r="R205" i="1"/>
  <c r="R187" i="1"/>
  <c r="R181" i="1"/>
  <c r="R266" i="1"/>
  <c r="R473" i="1"/>
  <c r="R485" i="1"/>
  <c r="R169" i="1"/>
  <c r="R124" i="1"/>
  <c r="R82" i="1"/>
  <c r="R70" i="1"/>
  <c r="R48" i="1"/>
  <c r="R42" i="1"/>
  <c r="R258" i="1"/>
  <c r="R196" i="1"/>
  <c r="R116" i="1"/>
  <c r="R132" i="1"/>
  <c r="R113" i="1"/>
  <c r="R108" i="1"/>
  <c r="R101" i="1"/>
  <c r="R77" i="1"/>
  <c r="R59" i="1"/>
  <c r="R53" i="1"/>
  <c r="R37" i="1"/>
  <c r="R294" i="1"/>
  <c r="R164" i="1"/>
  <c r="R146" i="1"/>
  <c r="H11" i="1"/>
  <c r="R13" i="1"/>
  <c r="H15" i="1"/>
  <c r="H19" i="1"/>
  <c r="H21" i="1"/>
  <c r="H23" i="1"/>
  <c r="H27" i="1"/>
  <c r="H29" i="1"/>
  <c r="H31" i="1"/>
  <c r="M35" i="1"/>
  <c r="H1014" i="1"/>
  <c r="H1004" i="1"/>
  <c r="H996" i="1"/>
  <c r="H980" i="1"/>
  <c r="H952" i="1"/>
  <c r="H946" i="1"/>
  <c r="H940" i="1"/>
  <c r="H934" i="1"/>
  <c r="H922" i="1"/>
  <c r="H910" i="1"/>
  <c r="H882" i="1"/>
  <c r="H876" i="1"/>
  <c r="H870" i="1"/>
  <c r="H862" i="1"/>
  <c r="H1021" i="1"/>
  <c r="H987" i="1"/>
  <c r="H973" i="1"/>
  <c r="H967" i="1"/>
  <c r="H927" i="1"/>
  <c r="H917" i="1"/>
  <c r="H903" i="1"/>
  <c r="H897" i="1"/>
  <c r="H887" i="1"/>
  <c r="H857" i="1"/>
  <c r="H850" i="1"/>
  <c r="H842" i="1"/>
  <c r="H836" i="1"/>
  <c r="H830" i="1"/>
  <c r="H824" i="1"/>
  <c r="H812" i="1"/>
  <c r="H806" i="1"/>
  <c r="H786" i="1"/>
  <c r="H778" i="1"/>
  <c r="H766" i="1"/>
  <c r="H753" i="1"/>
  <c r="H845" i="1"/>
  <c r="H797" i="1"/>
  <c r="H736" i="1"/>
  <c r="H728" i="1"/>
  <c r="H720" i="1"/>
  <c r="H714" i="1"/>
  <c r="H772" i="1"/>
  <c r="H761" i="1"/>
  <c r="H669" i="1"/>
  <c r="H645" i="1"/>
  <c r="H639" i="1"/>
  <c r="H600" i="1"/>
  <c r="H594" i="1"/>
  <c r="H741" i="1"/>
  <c r="H707" i="1"/>
  <c r="H695" i="1"/>
  <c r="H683" i="1"/>
  <c r="H662" i="1"/>
  <c r="H629" i="1"/>
  <c r="H623" i="1"/>
  <c r="H615" i="1"/>
  <c r="H607" i="1"/>
  <c r="H589" i="1"/>
  <c r="H583" i="1"/>
  <c r="H676" i="1"/>
  <c r="H655" i="1"/>
  <c r="H499" i="1"/>
  <c r="H470" i="1"/>
  <c r="H441" i="1"/>
  <c r="H433" i="1"/>
  <c r="H425" i="1"/>
  <c r="H419" i="1"/>
  <c r="H413" i="1"/>
  <c r="H407" i="1"/>
  <c r="H403" i="1"/>
  <c r="H379" i="1"/>
  <c r="H367" i="1"/>
  <c r="H359" i="1"/>
  <c r="H353" i="1"/>
  <c r="H337" i="1"/>
  <c r="H321" i="1"/>
  <c r="H315" i="1"/>
  <c r="H561" i="1"/>
  <c r="H520" i="1"/>
  <c r="H508" i="1"/>
  <c r="H477" i="1"/>
  <c r="H460" i="1"/>
  <c r="H453" i="1"/>
  <c r="H515" i="1"/>
  <c r="H568" i="1"/>
  <c r="H547" i="1"/>
  <c r="H541" i="1"/>
  <c r="H492" i="1"/>
  <c r="H747" i="1"/>
  <c r="H398" i="1"/>
  <c r="H390" i="1"/>
  <c r="H374" i="1"/>
  <c r="H342" i="1"/>
  <c r="H334" i="1"/>
  <c r="H326" i="1"/>
  <c r="H263" i="1"/>
  <c r="H256" i="1"/>
  <c r="H244" i="1"/>
  <c r="H481" i="1"/>
  <c r="H446" i="1"/>
  <c r="H241" i="1"/>
  <c r="H234" i="1"/>
  <c r="H229" i="1"/>
  <c r="H222" i="1"/>
  <c r="H214" i="1"/>
  <c r="H554" i="1"/>
  <c r="H305" i="1"/>
  <c r="H269" i="1"/>
  <c r="H250" i="1"/>
  <c r="H576" i="1"/>
  <c r="H533" i="1"/>
  <c r="H283" i="1"/>
  <c r="H209" i="1"/>
  <c r="H201" i="1"/>
  <c r="H179" i="1"/>
  <c r="H161" i="1"/>
  <c r="H143" i="1"/>
  <c r="H129" i="1"/>
  <c r="H174" i="1"/>
  <c r="H93" i="1"/>
  <c r="H67" i="1"/>
  <c r="H45" i="1"/>
  <c r="H290" i="1"/>
  <c r="H105" i="1"/>
  <c r="H154" i="1"/>
  <c r="H136" i="1"/>
  <c r="H192" i="1"/>
  <c r="H184" i="1"/>
  <c r="H121" i="1"/>
  <c r="H98" i="1"/>
  <c r="H86" i="1"/>
  <c r="H80" i="1"/>
  <c r="H56" i="1"/>
  <c r="H40" i="1"/>
  <c r="H34" i="1"/>
  <c r="H297" i="1"/>
  <c r="H126" i="1"/>
  <c r="M998" i="1"/>
  <c r="M982" i="1"/>
  <c r="M954" i="1"/>
  <c r="M936" i="1"/>
  <c r="M930" i="1"/>
  <c r="M888" i="1"/>
  <c r="M864" i="1"/>
  <c r="M989" i="1"/>
  <c r="M975" i="1"/>
  <c r="M961" i="1"/>
  <c r="M941" i="1"/>
  <c r="M838" i="1"/>
  <c r="M832" i="1"/>
  <c r="M818" i="1"/>
  <c r="M780" i="1"/>
  <c r="M774" i="1"/>
  <c r="M768" i="1"/>
  <c r="M893" i="1"/>
  <c r="M748" i="1"/>
  <c r="M899" i="1"/>
  <c r="M743" i="1"/>
  <c r="M701" i="1"/>
  <c r="M697" i="1"/>
  <c r="M685" i="1"/>
  <c r="M647" i="1"/>
  <c r="M617" i="1"/>
  <c r="M585" i="1"/>
  <c r="M664" i="1"/>
  <c r="M578" i="1"/>
  <c r="M543" i="1"/>
  <c r="M472" i="1"/>
  <c r="M522" i="1"/>
  <c r="M510" i="1"/>
  <c r="M462" i="1"/>
  <c r="M455" i="1"/>
  <c r="M548" i="1"/>
  <c r="M448" i="1"/>
  <c r="M526" i="1"/>
  <c r="M494" i="1"/>
  <c r="M483" i="1"/>
  <c r="M246" i="1"/>
  <c r="M194" i="1"/>
  <c r="M186" i="1"/>
  <c r="M168" i="1"/>
  <c r="M112" i="1"/>
  <c r="M602" i="1"/>
  <c r="M466" i="1"/>
  <c r="M381" i="1"/>
  <c r="M369" i="1"/>
  <c r="M317" i="1"/>
  <c r="M284" i="1"/>
  <c r="M236" i="1"/>
  <c r="M427" i="1"/>
  <c r="M344" i="1"/>
  <c r="M271" i="1"/>
  <c r="M252" i="1"/>
  <c r="M215" i="1"/>
  <c r="M363" i="1"/>
  <c r="M292" i="1"/>
  <c r="M131" i="1"/>
  <c r="M76" i="1"/>
  <c r="M58" i="1"/>
  <c r="M52" i="1"/>
  <c r="M299" i="1"/>
  <c r="M338" i="1"/>
  <c r="M203" i="1"/>
  <c r="M81" i="1"/>
  <c r="R1023" i="1"/>
  <c r="R1009" i="1"/>
  <c r="R955" i="1"/>
  <c r="R852" i="1"/>
  <c r="R846" i="1"/>
  <c r="R814" i="1"/>
  <c r="R800" i="1"/>
  <c r="R798" i="1"/>
  <c r="R794" i="1"/>
  <c r="R788" i="1"/>
  <c r="R948" i="1"/>
  <c r="R912" i="1"/>
  <c r="R877" i="1"/>
  <c r="R865" i="1"/>
  <c r="R983" i="1"/>
  <c r="R1006" i="1"/>
  <c r="R976" i="1"/>
  <c r="R928" i="1"/>
  <c r="R884" i="1"/>
  <c r="R872" i="1"/>
  <c r="R827" i="1"/>
  <c r="R825" i="1"/>
  <c r="R791" i="1"/>
  <c r="R999" i="1"/>
  <c r="R969" i="1"/>
  <c r="R858" i="1"/>
  <c r="R1016" i="1"/>
  <c r="R738" i="1"/>
  <c r="R730" i="1"/>
  <c r="R722" i="1"/>
  <c r="R698" i="1"/>
  <c r="R678" i="1"/>
  <c r="R670" i="1"/>
  <c r="R781" i="1"/>
  <c r="R754" i="1"/>
  <c r="R749" i="1"/>
  <c r="R665" i="1"/>
  <c r="R641" i="1"/>
  <c r="R603" i="1"/>
  <c r="R595" i="1"/>
  <c r="R579" i="1"/>
  <c r="R563" i="1"/>
  <c r="R535" i="1"/>
  <c r="R691" i="1"/>
  <c r="R631" i="1"/>
  <c r="R618" i="1"/>
  <c r="R570" i="1"/>
  <c r="R556" i="1"/>
  <c r="R484" i="1"/>
  <c r="R478" i="1"/>
  <c r="R456" i="1"/>
  <c r="R715" i="1"/>
  <c r="R709" i="1"/>
  <c r="R517" i="1"/>
  <c r="R414" i="1"/>
  <c r="R404" i="1"/>
  <c r="R392" i="1"/>
  <c r="R376" i="1"/>
  <c r="R328" i="1"/>
  <c r="R322" i="1"/>
  <c r="R624" i="1"/>
  <c r="R449" i="1"/>
  <c r="R443" i="1"/>
  <c r="R435" i="1"/>
  <c r="R421" i="1"/>
  <c r="R409" i="1"/>
  <c r="R399" i="1"/>
  <c r="R385" i="1"/>
  <c r="R355" i="1"/>
  <c r="R349" i="1"/>
  <c r="R345" i="1"/>
  <c r="R335" i="1"/>
  <c r="R307" i="1"/>
  <c r="R293" i="1"/>
  <c r="R285" i="1"/>
  <c r="R265" i="1"/>
  <c r="R231" i="1"/>
  <c r="R501" i="1"/>
  <c r="R224" i="1"/>
  <c r="R274" i="1"/>
  <c r="R300" i="1"/>
  <c r="R195" i="1"/>
  <c r="R175" i="1"/>
  <c r="R278" i="1"/>
  <c r="R242" i="1"/>
  <c r="R107" i="1"/>
  <c r="R163" i="1"/>
  <c r="R145" i="1"/>
  <c r="R100" i="1"/>
  <c r="R88" i="1"/>
  <c r="R36" i="1"/>
  <c r="R216" i="1"/>
  <c r="R180" i="1"/>
  <c r="R156" i="1"/>
  <c r="R150" i="1"/>
  <c r="R138" i="1"/>
  <c r="R123" i="1"/>
  <c r="R204" i="1"/>
  <c r="R95" i="1"/>
  <c r="R73" i="1"/>
  <c r="R69" i="1"/>
  <c r="R63" i="1"/>
  <c r="R47" i="1"/>
  <c r="H10" i="1"/>
  <c r="M11" i="1"/>
  <c r="H994" i="1"/>
  <c r="H908" i="1"/>
  <c r="H965" i="1"/>
  <c r="H921" i="1"/>
  <c r="H881" i="1"/>
  <c r="H810" i="1"/>
  <c r="H823" i="1"/>
  <c r="H734" i="1"/>
  <c r="H726" i="1"/>
  <c r="H718" i="1"/>
  <c r="H712" i="1"/>
  <c r="H841" i="1"/>
  <c r="H803" i="1"/>
  <c r="H660" i="1"/>
  <c r="H598" i="1"/>
  <c r="H674" i="1"/>
  <c r="H567" i="1"/>
  <c r="H705" i="1"/>
  <c r="H439" i="1"/>
  <c r="H417" i="1"/>
  <c r="H373" i="1"/>
  <c r="H309" i="1"/>
  <c r="H552" i="1"/>
  <c r="H532" i="1"/>
  <c r="H402" i="1"/>
  <c r="H358" i="1"/>
  <c r="H227" i="1"/>
  <c r="H220" i="1"/>
  <c r="H212" i="1"/>
  <c r="H396" i="1"/>
  <c r="H388" i="1"/>
  <c r="H352" i="1"/>
  <c r="H281" i="1"/>
  <c r="H288" i="1"/>
  <c r="H199" i="1"/>
  <c r="H159" i="1"/>
  <c r="H153" i="1"/>
  <c r="H141" i="1"/>
  <c r="H190" i="1"/>
  <c r="H91" i="1"/>
  <c r="H261" i="1"/>
  <c r="H119" i="1"/>
  <c r="H172" i="1"/>
  <c r="M15" i="1"/>
  <c r="M17" i="1"/>
  <c r="M19" i="1"/>
  <c r="M21" i="1"/>
  <c r="M27" i="1"/>
  <c r="M29" i="1"/>
  <c r="M31" i="1"/>
  <c r="H37" i="1"/>
  <c r="H43" i="1"/>
  <c r="Y44" i="1" l="1"/>
  <c r="X43" i="1"/>
  <c r="Y47" i="1"/>
  <c r="AG40" i="1"/>
  <c r="AG48" i="1"/>
  <c r="AM45" i="1"/>
  <c r="X40" i="1"/>
  <c r="Y40" i="1"/>
  <c r="AL44" i="1"/>
  <c r="AL42" i="1"/>
  <c r="X47" i="1"/>
  <c r="X45" i="1"/>
  <c r="AL43" i="1"/>
  <c r="AN43" i="1"/>
  <c r="AL48" i="1"/>
  <c r="AE42" i="1"/>
  <c r="AL45" i="1"/>
  <c r="AG42" i="1"/>
  <c r="AF43" i="1"/>
  <c r="AM46" i="1"/>
  <c r="AF40" i="1"/>
  <c r="AM47" i="1"/>
  <c r="AN45" i="1"/>
  <c r="Z48" i="1"/>
  <c r="AN42" i="1"/>
  <c r="Z45" i="1"/>
  <c r="AE45" i="1"/>
  <c r="AE47" i="1"/>
  <c r="X41" i="1"/>
  <c r="AE44" i="1"/>
  <c r="AL47" i="1"/>
  <c r="AF45" i="1"/>
  <c r="AM48" i="1"/>
  <c r="AF42" i="1"/>
  <c r="X42" i="1"/>
  <c r="AN47" i="1"/>
  <c r="AG41" i="1"/>
  <c r="AN44" i="1"/>
  <c r="Z47" i="1"/>
  <c r="AE41" i="1"/>
  <c r="AL40" i="1"/>
  <c r="AE46" i="1"/>
  <c r="X44" i="1"/>
  <c r="AF47" i="1"/>
  <c r="Y41" i="1"/>
  <c r="AF44" i="1"/>
  <c r="Z40" i="1"/>
  <c r="AG43" i="1"/>
  <c r="AN46" i="1"/>
  <c r="AG44" i="1"/>
  <c r="AE48" i="1"/>
  <c r="X46" i="1"/>
  <c r="AE43" i="1"/>
  <c r="Y46" i="1"/>
  <c r="AM40" i="1"/>
  <c r="Y43" i="1"/>
  <c r="AF46" i="1"/>
  <c r="Z42" i="1"/>
  <c r="AG45" i="1"/>
  <c r="AN48" i="1"/>
  <c r="AG46" i="1"/>
  <c r="AL41" i="1"/>
  <c r="X48" i="1"/>
  <c r="Y42" i="1"/>
  <c r="Y48" i="1"/>
  <c r="AM42" i="1"/>
  <c r="Y45" i="1"/>
  <c r="AF48" i="1"/>
  <c r="Z44" i="1"/>
  <c r="AG47" i="1"/>
  <c r="Z41" i="1"/>
  <c r="AM41" i="1"/>
  <c r="AL46" i="1"/>
  <c r="AE40" i="1"/>
  <c r="AM43" i="1"/>
  <c r="AN41" i="1"/>
  <c r="AF41" i="1"/>
  <c r="AM44" i="1"/>
  <c r="Z46" i="1"/>
  <c r="AN40" i="1"/>
  <c r="Z43" i="1"/>
  <c r="AA47" i="1" l="1"/>
  <c r="AH40" i="1"/>
  <c r="AO46" i="1"/>
  <c r="AA45" i="1"/>
  <c r="AO44" i="1"/>
  <c r="AA40" i="1"/>
  <c r="AO43" i="1"/>
  <c r="AA43" i="1"/>
  <c r="AO42" i="1"/>
  <c r="AH43" i="1"/>
  <c r="AA44" i="1"/>
  <c r="AO47" i="1"/>
  <c r="AH46" i="1"/>
  <c r="AH44" i="1"/>
  <c r="AO40" i="1"/>
  <c r="AA42" i="1"/>
  <c r="AA41" i="1"/>
  <c r="AO45" i="1"/>
  <c r="AA46" i="1"/>
  <c r="AH41" i="1"/>
  <c r="AH47" i="1"/>
  <c r="AH42" i="1"/>
  <c r="AA48" i="1"/>
  <c r="AH48" i="1"/>
  <c r="AH45" i="1"/>
  <c r="AO48" i="1"/>
  <c r="AO41" i="1"/>
  <c r="K3" i="21" l="1"/>
  <c r="E16" i="24" l="1"/>
  <c r="E15" i="24"/>
  <c r="F16" i="24"/>
  <c r="G16" i="24" s="1"/>
  <c r="H16" i="24" s="1"/>
  <c r="F15" i="24"/>
  <c r="G15" i="24" s="1"/>
  <c r="H15" i="24" s="1"/>
  <c r="I15" i="24" l="1"/>
  <c r="J15" i="24" s="1"/>
  <c r="I16" i="24"/>
  <c r="J16" i="24" s="1"/>
  <c r="G3" i="24" l="1"/>
  <c r="H3" i="24" s="1"/>
  <c r="I3" i="24" s="1"/>
  <c r="J3" i="24" s="1"/>
  <c r="G4" i="24"/>
  <c r="H4" i="24" s="1"/>
  <c r="I4" i="24" s="1"/>
  <c r="J4" i="24" s="1"/>
  <c r="G5" i="24"/>
  <c r="H5" i="24" s="1"/>
  <c r="I5" i="24" s="1"/>
  <c r="J5" i="24" s="1"/>
  <c r="G6" i="24"/>
  <c r="H6" i="24" s="1"/>
  <c r="I6" i="24" s="1"/>
  <c r="J6" i="24" s="1"/>
  <c r="G7" i="24"/>
  <c r="H7" i="24" s="1"/>
  <c r="I7" i="24" s="1"/>
  <c r="J7" i="24" s="1"/>
  <c r="G8" i="24"/>
  <c r="H8" i="24" s="1"/>
  <c r="I8" i="24" s="1"/>
  <c r="J8" i="24" s="1"/>
  <c r="G9" i="24"/>
  <c r="H9" i="24" s="1"/>
  <c r="I9" i="24" s="1"/>
  <c r="J9" i="24" s="1"/>
  <c r="G10" i="24"/>
  <c r="H10" i="24" s="1"/>
  <c r="I10" i="24" s="1"/>
  <c r="J10" i="24" s="1"/>
  <c r="G11" i="24"/>
  <c r="H11" i="24" s="1"/>
  <c r="I11" i="24" s="1"/>
  <c r="J11" i="24" s="1"/>
  <c r="G12" i="24"/>
  <c r="H12" i="24" s="1"/>
  <c r="I12" i="24" s="1"/>
  <c r="J12" i="24" s="1"/>
  <c r="G13" i="24"/>
  <c r="H13" i="24" s="1"/>
  <c r="I13" i="24" s="1"/>
  <c r="J13" i="24" s="1"/>
  <c r="G14" i="24"/>
  <c r="H14" i="24" s="1"/>
  <c r="I14" i="24" s="1"/>
  <c r="J14" i="24" s="1"/>
  <c r="G2" i="24"/>
  <c r="H2" i="24" l="1"/>
  <c r="I2" i="24" s="1"/>
  <c r="H2" i="19"/>
  <c r="I2" i="19"/>
  <c r="H3" i="19"/>
  <c r="I3" i="19"/>
  <c r="N3" i="19" s="1"/>
  <c r="H4" i="19"/>
  <c r="I4" i="19"/>
  <c r="N4" i="19" s="1"/>
  <c r="H5" i="19"/>
  <c r="I5" i="19"/>
  <c r="N5" i="19" s="1"/>
  <c r="H6" i="19"/>
  <c r="I6" i="19"/>
  <c r="N6" i="19" s="1"/>
  <c r="H7" i="19"/>
  <c r="I7" i="19"/>
  <c r="N7" i="19" s="1"/>
  <c r="H8" i="19"/>
  <c r="I8" i="19"/>
  <c r="N8" i="19" s="1"/>
  <c r="H9" i="19"/>
  <c r="I9" i="19"/>
  <c r="N9" i="19" s="1"/>
  <c r="H10" i="19"/>
  <c r="I10" i="19"/>
  <c r="N10" i="19" s="1"/>
  <c r="H11" i="19"/>
  <c r="I11" i="19"/>
  <c r="N11" i="19" s="1"/>
  <c r="H12" i="19"/>
  <c r="I12" i="19"/>
  <c r="N12" i="19" s="1"/>
  <c r="H13" i="19"/>
  <c r="I13" i="19"/>
  <c r="N13" i="19" s="1"/>
  <c r="H14" i="19"/>
  <c r="I14" i="19"/>
  <c r="N14" i="19" s="1"/>
  <c r="H15" i="19"/>
  <c r="I15" i="19"/>
  <c r="N15" i="19" s="1"/>
  <c r="H16" i="19"/>
  <c r="I16" i="19"/>
  <c r="N16" i="19" s="1"/>
  <c r="H17" i="19"/>
  <c r="I17" i="19"/>
  <c r="N17" i="19" s="1"/>
  <c r="H18" i="19"/>
  <c r="I18" i="19"/>
  <c r="N18" i="19" s="1"/>
  <c r="H19" i="19"/>
  <c r="I19" i="19"/>
  <c r="N19" i="19" s="1"/>
  <c r="H20" i="19"/>
  <c r="I20" i="19"/>
  <c r="N20" i="19" s="1"/>
  <c r="H21" i="19"/>
  <c r="I21" i="19"/>
  <c r="N21" i="19" s="1"/>
  <c r="H22" i="19"/>
  <c r="I22" i="19"/>
  <c r="N22" i="19" s="1"/>
  <c r="H23" i="19"/>
  <c r="I23" i="19"/>
  <c r="N23" i="19" s="1"/>
  <c r="H24" i="19"/>
  <c r="I24" i="19"/>
  <c r="N24" i="19" s="1"/>
  <c r="H25" i="19"/>
  <c r="I25" i="19"/>
  <c r="N25" i="19" s="1"/>
  <c r="H26" i="19"/>
  <c r="I26" i="19"/>
  <c r="N26" i="19" s="1"/>
  <c r="H27" i="19"/>
  <c r="I27" i="19"/>
  <c r="N27" i="19" s="1"/>
  <c r="H28" i="19"/>
  <c r="I28" i="19"/>
  <c r="N28" i="19" s="1"/>
  <c r="H29" i="19"/>
  <c r="I29" i="19"/>
  <c r="N29" i="19" s="1"/>
  <c r="H30" i="19"/>
  <c r="I30" i="19"/>
  <c r="N30" i="19" s="1"/>
  <c r="H31" i="19"/>
  <c r="I31" i="19"/>
  <c r="N31" i="19" s="1"/>
  <c r="H32" i="19"/>
  <c r="I32" i="19"/>
  <c r="N32" i="19" s="1"/>
  <c r="H33" i="19"/>
  <c r="I33" i="19"/>
  <c r="N33" i="19" s="1"/>
  <c r="H34" i="19"/>
  <c r="I34" i="19"/>
  <c r="N34" i="19" s="1"/>
  <c r="H35" i="19"/>
  <c r="I35" i="19"/>
  <c r="N35" i="19" s="1"/>
  <c r="H36" i="19"/>
  <c r="I36" i="19"/>
  <c r="N36" i="19" s="1"/>
  <c r="H37" i="19"/>
  <c r="I37" i="19"/>
  <c r="N37" i="19" s="1"/>
  <c r="H38" i="19"/>
  <c r="I38" i="19"/>
  <c r="N38" i="19" s="1"/>
  <c r="H39" i="19"/>
  <c r="I39" i="19"/>
  <c r="N39" i="19" s="1"/>
  <c r="H40" i="19"/>
  <c r="I40" i="19"/>
  <c r="N40" i="19" s="1"/>
  <c r="H41" i="19"/>
  <c r="I41" i="19"/>
  <c r="N41" i="19" s="1"/>
  <c r="H42" i="19"/>
  <c r="I42" i="19"/>
  <c r="N42" i="19" s="1"/>
  <c r="H43" i="19"/>
  <c r="I43" i="19"/>
  <c r="N43" i="19" s="1"/>
  <c r="H44" i="19"/>
  <c r="I44" i="19"/>
  <c r="N44" i="19" s="1"/>
  <c r="H45" i="19"/>
  <c r="I45" i="19"/>
  <c r="N45" i="19" s="1"/>
  <c r="H46" i="19"/>
  <c r="I46" i="19"/>
  <c r="N46" i="19" s="1"/>
  <c r="H47" i="19"/>
  <c r="I47" i="19"/>
  <c r="N47" i="19" s="1"/>
  <c r="H48" i="19"/>
  <c r="I48" i="19"/>
  <c r="N48" i="19" s="1"/>
  <c r="H49" i="19"/>
  <c r="I49" i="19"/>
  <c r="N49" i="19" s="1"/>
  <c r="H50" i="19"/>
  <c r="I50" i="19"/>
  <c r="N50" i="19" s="1"/>
  <c r="H51" i="19"/>
  <c r="I51" i="19"/>
  <c r="N51" i="19" s="1"/>
  <c r="H52" i="19"/>
  <c r="I52" i="19"/>
  <c r="N52" i="19" s="1"/>
  <c r="H53" i="19"/>
  <c r="I53" i="19"/>
  <c r="N53" i="19" s="1"/>
  <c r="H54" i="19"/>
  <c r="I54" i="19"/>
  <c r="N54" i="19" s="1"/>
  <c r="H55" i="19"/>
  <c r="I55" i="19"/>
  <c r="N55" i="19" s="1"/>
  <c r="H56" i="19"/>
  <c r="I56" i="19"/>
  <c r="N56" i="19" s="1"/>
  <c r="H57" i="19"/>
  <c r="I57" i="19"/>
  <c r="N57" i="19" s="1"/>
  <c r="H58" i="19"/>
  <c r="I58" i="19"/>
  <c r="N58" i="19" s="1"/>
  <c r="H59" i="19"/>
  <c r="I59" i="19"/>
  <c r="N59" i="19" s="1"/>
  <c r="H60" i="19"/>
  <c r="I60" i="19"/>
  <c r="N60" i="19" s="1"/>
  <c r="H61" i="19"/>
  <c r="I61" i="19"/>
  <c r="N61" i="19" s="1"/>
  <c r="H62" i="19"/>
  <c r="I62" i="19"/>
  <c r="N62" i="19" s="1"/>
  <c r="H63" i="19"/>
  <c r="I63" i="19"/>
  <c r="N63" i="19" s="1"/>
  <c r="H64" i="19"/>
  <c r="I64" i="19"/>
  <c r="N64" i="19" s="1"/>
  <c r="H65" i="19"/>
  <c r="I65" i="19"/>
  <c r="N65" i="19" s="1"/>
  <c r="H66" i="19"/>
  <c r="I66" i="19"/>
  <c r="N66" i="19" s="1"/>
  <c r="H67" i="19"/>
  <c r="I67" i="19"/>
  <c r="N67" i="19" s="1"/>
  <c r="H68" i="19"/>
  <c r="I68" i="19"/>
  <c r="N68" i="19" s="1"/>
  <c r="H69" i="19"/>
  <c r="I69" i="19"/>
  <c r="N69" i="19" s="1"/>
  <c r="H70" i="19"/>
  <c r="I70" i="19"/>
  <c r="N70" i="19" s="1"/>
  <c r="H71" i="19"/>
  <c r="I71" i="19"/>
  <c r="N71" i="19" s="1"/>
  <c r="H72" i="19"/>
  <c r="I72" i="19"/>
  <c r="N72" i="19" s="1"/>
  <c r="H73" i="19"/>
  <c r="I73" i="19"/>
  <c r="N73" i="19" s="1"/>
  <c r="H74" i="19"/>
  <c r="I74" i="19"/>
  <c r="N74" i="19" s="1"/>
  <c r="H75" i="19"/>
  <c r="I75" i="19"/>
  <c r="N75" i="19" s="1"/>
  <c r="H76" i="19"/>
  <c r="I76" i="19"/>
  <c r="N76" i="19" s="1"/>
  <c r="H77" i="19"/>
  <c r="I77" i="19"/>
  <c r="N77" i="19" s="1"/>
  <c r="H78" i="19"/>
  <c r="I78" i="19"/>
  <c r="N78" i="19" s="1"/>
  <c r="H79" i="19"/>
  <c r="I79" i="19"/>
  <c r="N79" i="19" s="1"/>
  <c r="H80" i="19"/>
  <c r="I80" i="19"/>
  <c r="N80" i="19" s="1"/>
  <c r="H81" i="19"/>
  <c r="I81" i="19"/>
  <c r="N81" i="19" s="1"/>
  <c r="H82" i="19"/>
  <c r="I82" i="19"/>
  <c r="N82" i="19" s="1"/>
  <c r="H83" i="19"/>
  <c r="I83" i="19"/>
  <c r="N83" i="19" s="1"/>
  <c r="H84" i="19"/>
  <c r="I84" i="19"/>
  <c r="N84" i="19" s="1"/>
  <c r="H85" i="19"/>
  <c r="I85" i="19"/>
  <c r="N85" i="19" s="1"/>
  <c r="H86" i="19"/>
  <c r="I86" i="19"/>
  <c r="N86" i="19" s="1"/>
  <c r="H87" i="19"/>
  <c r="I87" i="19"/>
  <c r="N87" i="19" s="1"/>
  <c r="H88" i="19"/>
  <c r="I88" i="19"/>
  <c r="N88" i="19" s="1"/>
  <c r="H89" i="19"/>
  <c r="I89" i="19"/>
  <c r="N89" i="19" s="1"/>
  <c r="H90" i="19"/>
  <c r="I90" i="19"/>
  <c r="N90" i="19" s="1"/>
  <c r="H91" i="19"/>
  <c r="I91" i="19"/>
  <c r="N91" i="19" s="1"/>
  <c r="H92" i="19"/>
  <c r="I92" i="19"/>
  <c r="N92" i="19" s="1"/>
  <c r="H93" i="19"/>
  <c r="I93" i="19"/>
  <c r="N93" i="19" s="1"/>
  <c r="H94" i="19"/>
  <c r="I94" i="19"/>
  <c r="N94" i="19" s="1"/>
  <c r="H95" i="19"/>
  <c r="I95" i="19"/>
  <c r="N95" i="19" s="1"/>
  <c r="H96" i="19"/>
  <c r="I96" i="19"/>
  <c r="N96" i="19" s="1"/>
  <c r="H97" i="19"/>
  <c r="I97" i="19"/>
  <c r="N97" i="19" s="1"/>
  <c r="H98" i="19"/>
  <c r="I98" i="19"/>
  <c r="N98" i="19" s="1"/>
  <c r="H99" i="19"/>
  <c r="I99" i="19"/>
  <c r="N99" i="19" s="1"/>
  <c r="H100" i="19"/>
  <c r="I100" i="19"/>
  <c r="N100" i="19" s="1"/>
  <c r="H101" i="19"/>
  <c r="I101" i="19"/>
  <c r="N101" i="19" s="1"/>
  <c r="H102" i="19"/>
  <c r="I102" i="19"/>
  <c r="N102" i="19" s="1"/>
  <c r="H103" i="19"/>
  <c r="I103" i="19"/>
  <c r="N103" i="19" s="1"/>
  <c r="H104" i="19"/>
  <c r="I104" i="19"/>
  <c r="N104" i="19" s="1"/>
  <c r="H105" i="19"/>
  <c r="I105" i="19"/>
  <c r="N105" i="19" s="1"/>
  <c r="H106" i="19"/>
  <c r="I106" i="19"/>
  <c r="N106" i="19" s="1"/>
  <c r="H107" i="19"/>
  <c r="I107" i="19"/>
  <c r="N107" i="19" s="1"/>
  <c r="H108" i="19"/>
  <c r="I108" i="19"/>
  <c r="N108" i="19" s="1"/>
  <c r="H109" i="19"/>
  <c r="I109" i="19"/>
  <c r="N109" i="19" s="1"/>
  <c r="H110" i="19"/>
  <c r="I110" i="19"/>
  <c r="N110" i="19" s="1"/>
  <c r="H111" i="19"/>
  <c r="I111" i="19"/>
  <c r="N111" i="19" s="1"/>
  <c r="H112" i="19"/>
  <c r="I112" i="19"/>
  <c r="N112" i="19" s="1"/>
  <c r="H113" i="19"/>
  <c r="I113" i="19"/>
  <c r="N113" i="19" s="1"/>
  <c r="H114" i="19"/>
  <c r="I114" i="19"/>
  <c r="N114" i="19" s="1"/>
  <c r="H115" i="19"/>
  <c r="I115" i="19"/>
  <c r="N115" i="19" s="1"/>
  <c r="H116" i="19"/>
  <c r="I116" i="19"/>
  <c r="N116" i="19" s="1"/>
  <c r="H117" i="19"/>
  <c r="I117" i="19"/>
  <c r="N117" i="19" s="1"/>
  <c r="H118" i="19"/>
  <c r="I118" i="19"/>
  <c r="N118" i="19" s="1"/>
  <c r="H119" i="19"/>
  <c r="I119" i="19"/>
  <c r="N119" i="19" s="1"/>
  <c r="H120" i="19"/>
  <c r="I120" i="19"/>
  <c r="N120" i="19" s="1"/>
  <c r="H121" i="19"/>
  <c r="I121" i="19"/>
  <c r="N121" i="19" s="1"/>
  <c r="H122" i="19"/>
  <c r="I122" i="19"/>
  <c r="N122" i="19" s="1"/>
  <c r="H123" i="19"/>
  <c r="I123" i="19"/>
  <c r="N123" i="19" s="1"/>
  <c r="H124" i="19"/>
  <c r="I124" i="19"/>
  <c r="N124" i="19" s="1"/>
  <c r="H125" i="19"/>
  <c r="I125" i="19"/>
  <c r="N125" i="19" s="1"/>
  <c r="H126" i="19"/>
  <c r="I126" i="19"/>
  <c r="N126" i="19" s="1"/>
  <c r="H127" i="19"/>
  <c r="I127" i="19"/>
  <c r="N127" i="19" s="1"/>
  <c r="H128" i="19"/>
  <c r="I128" i="19"/>
  <c r="N128" i="19" s="1"/>
  <c r="H129" i="19"/>
  <c r="I129" i="19"/>
  <c r="N129" i="19" s="1"/>
  <c r="H130" i="19"/>
  <c r="I130" i="19"/>
  <c r="N130" i="19" s="1"/>
  <c r="H131" i="19"/>
  <c r="I131" i="19"/>
  <c r="N131" i="19" s="1"/>
  <c r="H132" i="19"/>
  <c r="I132" i="19"/>
  <c r="N132" i="19" s="1"/>
  <c r="H133" i="19"/>
  <c r="I133" i="19"/>
  <c r="N133" i="19" s="1"/>
  <c r="H134" i="19"/>
  <c r="I134" i="19"/>
  <c r="N134" i="19" s="1"/>
  <c r="H135" i="19"/>
  <c r="I135" i="19"/>
  <c r="N135" i="19" s="1"/>
  <c r="H136" i="19"/>
  <c r="I136" i="19"/>
  <c r="N136" i="19" s="1"/>
  <c r="H137" i="19"/>
  <c r="I137" i="19"/>
  <c r="N137" i="19" s="1"/>
  <c r="H138" i="19"/>
  <c r="I138" i="19"/>
  <c r="N138" i="19" s="1"/>
  <c r="H139" i="19"/>
  <c r="I139" i="19"/>
  <c r="N139" i="19" s="1"/>
  <c r="H140" i="19"/>
  <c r="I140" i="19"/>
  <c r="N140" i="19" s="1"/>
  <c r="H141" i="19"/>
  <c r="I141" i="19"/>
  <c r="N141" i="19" s="1"/>
  <c r="H142" i="19"/>
  <c r="I142" i="19"/>
  <c r="N142" i="19" s="1"/>
  <c r="H143" i="19"/>
  <c r="I143" i="19"/>
  <c r="N143" i="19" s="1"/>
  <c r="H144" i="19"/>
  <c r="I144" i="19"/>
  <c r="N144" i="19" s="1"/>
  <c r="H145" i="19"/>
  <c r="I145" i="19"/>
  <c r="N145" i="19" s="1"/>
  <c r="H146" i="19"/>
  <c r="I146" i="19"/>
  <c r="N146" i="19" s="1"/>
  <c r="H147" i="19"/>
  <c r="I147" i="19"/>
  <c r="N147" i="19" s="1"/>
  <c r="H148" i="19"/>
  <c r="I148" i="19"/>
  <c r="N148" i="19" s="1"/>
  <c r="H149" i="19"/>
  <c r="I149" i="19"/>
  <c r="N149" i="19" s="1"/>
  <c r="H150" i="19"/>
  <c r="I150" i="19"/>
  <c r="N150" i="19" s="1"/>
  <c r="H151" i="19"/>
  <c r="I151" i="19"/>
  <c r="N151" i="19" s="1"/>
  <c r="H152" i="19"/>
  <c r="I152" i="19"/>
  <c r="N152" i="19" s="1"/>
  <c r="H153" i="19"/>
  <c r="I153" i="19"/>
  <c r="N153" i="19" s="1"/>
  <c r="H154" i="19"/>
  <c r="I154" i="19"/>
  <c r="N154" i="19" s="1"/>
  <c r="H155" i="19"/>
  <c r="I155" i="19"/>
  <c r="N155" i="19" s="1"/>
  <c r="H156" i="19"/>
  <c r="I156" i="19"/>
  <c r="N156" i="19" s="1"/>
  <c r="H157" i="19"/>
  <c r="I157" i="19"/>
  <c r="N157" i="19" s="1"/>
  <c r="H158" i="19"/>
  <c r="I158" i="19"/>
  <c r="N158" i="19" s="1"/>
  <c r="H159" i="19"/>
  <c r="I159" i="19"/>
  <c r="N159" i="19" s="1"/>
  <c r="H160" i="19"/>
  <c r="I160" i="19"/>
  <c r="N160" i="19" s="1"/>
  <c r="H161" i="19"/>
  <c r="I161" i="19"/>
  <c r="N161" i="19" s="1"/>
  <c r="H162" i="19"/>
  <c r="I162" i="19"/>
  <c r="N162" i="19" s="1"/>
  <c r="H163" i="19"/>
  <c r="I163" i="19"/>
  <c r="N163" i="19" s="1"/>
  <c r="H164" i="19"/>
  <c r="I164" i="19"/>
  <c r="N164" i="19" s="1"/>
  <c r="H165" i="19"/>
  <c r="I165" i="19"/>
  <c r="N165" i="19" s="1"/>
  <c r="H166" i="19"/>
  <c r="I166" i="19"/>
  <c r="N166" i="19" s="1"/>
  <c r="H167" i="19"/>
  <c r="I167" i="19"/>
  <c r="N167" i="19" s="1"/>
  <c r="H168" i="19"/>
  <c r="I168" i="19"/>
  <c r="N168" i="19" s="1"/>
  <c r="H169" i="19"/>
  <c r="I169" i="19"/>
  <c r="N169" i="19" s="1"/>
  <c r="H170" i="19"/>
  <c r="I170" i="19"/>
  <c r="N170" i="19" s="1"/>
  <c r="H171" i="19"/>
  <c r="I171" i="19"/>
  <c r="N171" i="19" s="1"/>
  <c r="H172" i="19"/>
  <c r="I172" i="19"/>
  <c r="N172" i="19" s="1"/>
  <c r="H173" i="19"/>
  <c r="I173" i="19"/>
  <c r="N173" i="19" s="1"/>
  <c r="H174" i="19"/>
  <c r="I174" i="19"/>
  <c r="N174" i="19" s="1"/>
  <c r="H175" i="19"/>
  <c r="I175" i="19"/>
  <c r="N175" i="19" s="1"/>
  <c r="H176" i="19"/>
  <c r="I176" i="19"/>
  <c r="N176" i="19" s="1"/>
  <c r="H177" i="19"/>
  <c r="I177" i="19"/>
  <c r="N177" i="19" s="1"/>
  <c r="H178" i="19"/>
  <c r="I178" i="19"/>
  <c r="N178" i="19" s="1"/>
  <c r="H179" i="19"/>
  <c r="I179" i="19"/>
  <c r="N179" i="19" s="1"/>
  <c r="H180" i="19"/>
  <c r="I180" i="19"/>
  <c r="N180" i="19" s="1"/>
  <c r="H181" i="19"/>
  <c r="I181" i="19"/>
  <c r="N181" i="19" s="1"/>
  <c r="H182" i="19"/>
  <c r="I182" i="19"/>
  <c r="N182" i="19" s="1"/>
  <c r="H183" i="19"/>
  <c r="I183" i="19"/>
  <c r="N183" i="19" s="1"/>
  <c r="H184" i="19"/>
  <c r="I184" i="19"/>
  <c r="N184" i="19" s="1"/>
  <c r="H185" i="19"/>
  <c r="I185" i="19"/>
  <c r="N185" i="19" s="1"/>
  <c r="H186" i="19"/>
  <c r="I186" i="19"/>
  <c r="N186" i="19" s="1"/>
  <c r="H187" i="19"/>
  <c r="I187" i="19"/>
  <c r="N187" i="19" s="1"/>
  <c r="H188" i="19"/>
  <c r="I188" i="19"/>
  <c r="N188" i="19" s="1"/>
  <c r="H189" i="19"/>
  <c r="I189" i="19"/>
  <c r="N189" i="19" s="1"/>
  <c r="H190" i="19"/>
  <c r="I190" i="19"/>
  <c r="N190" i="19" s="1"/>
  <c r="H191" i="19"/>
  <c r="I191" i="19"/>
  <c r="N191" i="19" s="1"/>
  <c r="H192" i="19"/>
  <c r="I192" i="19"/>
  <c r="N192" i="19" s="1"/>
  <c r="H193" i="19"/>
  <c r="I193" i="19"/>
  <c r="N193" i="19" s="1"/>
  <c r="H194" i="19"/>
  <c r="I194" i="19"/>
  <c r="N194" i="19" s="1"/>
  <c r="H195" i="19"/>
  <c r="I195" i="19"/>
  <c r="N195" i="19" s="1"/>
  <c r="H196" i="19"/>
  <c r="I196" i="19"/>
  <c r="N196" i="19" s="1"/>
  <c r="H197" i="19"/>
  <c r="I197" i="19"/>
  <c r="N197" i="19" s="1"/>
  <c r="H198" i="19"/>
  <c r="I198" i="19"/>
  <c r="N198" i="19" s="1"/>
  <c r="H199" i="19"/>
  <c r="I199" i="19"/>
  <c r="N199" i="19" s="1"/>
  <c r="H200" i="19"/>
  <c r="I200" i="19"/>
  <c r="N200" i="19" s="1"/>
  <c r="H201" i="19"/>
  <c r="I201" i="19"/>
  <c r="N201" i="19" s="1"/>
  <c r="H202" i="19"/>
  <c r="I202" i="19"/>
  <c r="N202" i="19" s="1"/>
  <c r="H203" i="19"/>
  <c r="I203" i="19"/>
  <c r="N203" i="19" s="1"/>
  <c r="H204" i="19"/>
  <c r="I204" i="19"/>
  <c r="N204" i="19" s="1"/>
  <c r="H205" i="19"/>
  <c r="I205" i="19"/>
  <c r="N205" i="19" s="1"/>
  <c r="H206" i="19"/>
  <c r="I206" i="19"/>
  <c r="N206" i="19" s="1"/>
  <c r="H207" i="19"/>
  <c r="I207" i="19"/>
  <c r="N207" i="19" s="1"/>
  <c r="H208" i="19"/>
  <c r="I208" i="19"/>
  <c r="N208" i="19" s="1"/>
  <c r="H209" i="19"/>
  <c r="I209" i="19"/>
  <c r="N209" i="19" s="1"/>
  <c r="H210" i="19"/>
  <c r="I210" i="19"/>
  <c r="N210" i="19" s="1"/>
  <c r="H211" i="19"/>
  <c r="I211" i="19"/>
  <c r="N211" i="19" s="1"/>
  <c r="H212" i="19"/>
  <c r="I212" i="19"/>
  <c r="N212" i="19" s="1"/>
  <c r="H213" i="19"/>
  <c r="I213" i="19"/>
  <c r="N213" i="19" s="1"/>
  <c r="H214" i="19"/>
  <c r="I214" i="19"/>
  <c r="N214" i="19" s="1"/>
  <c r="H215" i="19"/>
  <c r="I215" i="19"/>
  <c r="N215" i="19" s="1"/>
  <c r="H216" i="19"/>
  <c r="I216" i="19"/>
  <c r="N216" i="19" s="1"/>
  <c r="H217" i="19"/>
  <c r="I217" i="19"/>
  <c r="N217" i="19" s="1"/>
  <c r="H218" i="19"/>
  <c r="I218" i="19"/>
  <c r="N218" i="19" s="1"/>
  <c r="H219" i="19"/>
  <c r="I219" i="19"/>
  <c r="N219" i="19" s="1"/>
  <c r="H220" i="19"/>
  <c r="I220" i="19"/>
  <c r="N220" i="19" s="1"/>
  <c r="H221" i="19"/>
  <c r="I221" i="19"/>
  <c r="N221" i="19" s="1"/>
  <c r="H222" i="19"/>
  <c r="I222" i="19"/>
  <c r="N222" i="19" s="1"/>
  <c r="H223" i="19"/>
  <c r="I223" i="19"/>
  <c r="N223" i="19" s="1"/>
  <c r="H224" i="19"/>
  <c r="I224" i="19"/>
  <c r="N224" i="19" s="1"/>
  <c r="H225" i="19"/>
  <c r="I225" i="19"/>
  <c r="N225" i="19" s="1"/>
  <c r="H226" i="19"/>
  <c r="I226" i="19"/>
  <c r="N226" i="19" s="1"/>
  <c r="H227" i="19"/>
  <c r="I227" i="19"/>
  <c r="N227" i="19" s="1"/>
  <c r="H228" i="19"/>
  <c r="I228" i="19"/>
  <c r="N228" i="19" s="1"/>
  <c r="H229" i="19"/>
  <c r="I229" i="19"/>
  <c r="N229" i="19" s="1"/>
  <c r="H230" i="19"/>
  <c r="I230" i="19"/>
  <c r="N230" i="19" s="1"/>
  <c r="H231" i="19"/>
  <c r="I231" i="19"/>
  <c r="N231" i="19" s="1"/>
  <c r="H232" i="19"/>
  <c r="I232" i="19"/>
  <c r="N232" i="19" s="1"/>
  <c r="H233" i="19"/>
  <c r="I233" i="19"/>
  <c r="N233" i="19" s="1"/>
  <c r="H234" i="19"/>
  <c r="I234" i="19"/>
  <c r="N234" i="19" s="1"/>
  <c r="H235" i="19"/>
  <c r="I235" i="19"/>
  <c r="N235" i="19" s="1"/>
  <c r="H236" i="19"/>
  <c r="I236" i="19"/>
  <c r="N236" i="19" s="1"/>
  <c r="H237" i="19"/>
  <c r="I237" i="19"/>
  <c r="N237" i="19" s="1"/>
  <c r="H238" i="19"/>
  <c r="I238" i="19"/>
  <c r="N238" i="19" s="1"/>
  <c r="H239" i="19"/>
  <c r="I239" i="19"/>
  <c r="N239" i="19" s="1"/>
  <c r="H240" i="19"/>
  <c r="I240" i="19"/>
  <c r="N240" i="19" s="1"/>
  <c r="H241" i="19"/>
  <c r="I241" i="19"/>
  <c r="N241" i="19" s="1"/>
  <c r="H242" i="19"/>
  <c r="I242" i="19"/>
  <c r="N242" i="19" s="1"/>
  <c r="H243" i="19"/>
  <c r="I243" i="19"/>
  <c r="N243" i="19" s="1"/>
  <c r="H244" i="19"/>
  <c r="I244" i="19"/>
  <c r="N244" i="19" s="1"/>
  <c r="H245" i="19"/>
  <c r="I245" i="19"/>
  <c r="N245" i="19" s="1"/>
  <c r="H246" i="19"/>
  <c r="I246" i="19"/>
  <c r="N246" i="19" s="1"/>
  <c r="H247" i="19"/>
  <c r="I247" i="19"/>
  <c r="N247" i="19" s="1"/>
  <c r="H248" i="19"/>
  <c r="I248" i="19"/>
  <c r="N248" i="19" s="1"/>
  <c r="H249" i="19"/>
  <c r="I249" i="19"/>
  <c r="N249" i="19" s="1"/>
  <c r="H250" i="19"/>
  <c r="I250" i="19"/>
  <c r="N250" i="19" s="1"/>
  <c r="H251" i="19"/>
  <c r="I251" i="19"/>
  <c r="N251" i="19" s="1"/>
  <c r="H252" i="19"/>
  <c r="I252" i="19"/>
  <c r="N252" i="19" s="1"/>
  <c r="H253" i="19"/>
  <c r="I253" i="19"/>
  <c r="N253" i="19" s="1"/>
  <c r="H254" i="19"/>
  <c r="I254" i="19"/>
  <c r="N254" i="19" s="1"/>
  <c r="H255" i="19"/>
  <c r="I255" i="19"/>
  <c r="N255" i="19" s="1"/>
  <c r="H256" i="19"/>
  <c r="I256" i="19"/>
  <c r="N256" i="19" s="1"/>
  <c r="H257" i="19"/>
  <c r="I257" i="19"/>
  <c r="N257" i="19" s="1"/>
  <c r="H258" i="19"/>
  <c r="I258" i="19"/>
  <c r="N258" i="19" s="1"/>
  <c r="H259" i="19"/>
  <c r="I259" i="19"/>
  <c r="N259" i="19" s="1"/>
  <c r="H260" i="19"/>
  <c r="I260" i="19"/>
  <c r="N260" i="19" s="1"/>
  <c r="H261" i="19"/>
  <c r="I261" i="19"/>
  <c r="N261" i="19" s="1"/>
  <c r="H262" i="19"/>
  <c r="I262" i="19"/>
  <c r="N262" i="19" s="1"/>
  <c r="H263" i="19"/>
  <c r="I263" i="19"/>
  <c r="N263" i="19" s="1"/>
  <c r="H264" i="19"/>
  <c r="I264" i="19"/>
  <c r="N264" i="19" s="1"/>
  <c r="H265" i="19"/>
  <c r="I265" i="19"/>
  <c r="N265" i="19" s="1"/>
  <c r="H266" i="19"/>
  <c r="I266" i="19"/>
  <c r="N266" i="19" s="1"/>
  <c r="H267" i="19"/>
  <c r="I267" i="19"/>
  <c r="N267" i="19" s="1"/>
  <c r="H268" i="19"/>
  <c r="I268" i="19"/>
  <c r="N268" i="19" s="1"/>
  <c r="H269" i="19"/>
  <c r="I269" i="19"/>
  <c r="N269" i="19" s="1"/>
  <c r="H270" i="19"/>
  <c r="I270" i="19"/>
  <c r="N270" i="19" s="1"/>
  <c r="H271" i="19"/>
  <c r="I271" i="19"/>
  <c r="N271" i="19" s="1"/>
  <c r="H272" i="19"/>
  <c r="I272" i="19"/>
  <c r="N272" i="19" s="1"/>
  <c r="H273" i="19"/>
  <c r="I273" i="19"/>
  <c r="N273" i="19" s="1"/>
  <c r="H274" i="19"/>
  <c r="I274" i="19"/>
  <c r="N274" i="19" s="1"/>
  <c r="H275" i="19"/>
  <c r="I275" i="19"/>
  <c r="N275" i="19" s="1"/>
  <c r="H276" i="19"/>
  <c r="I276" i="19"/>
  <c r="N276" i="19" s="1"/>
  <c r="H277" i="19"/>
  <c r="I277" i="19"/>
  <c r="N277" i="19" s="1"/>
  <c r="H278" i="19"/>
  <c r="I278" i="19"/>
  <c r="N278" i="19" s="1"/>
  <c r="H279" i="19"/>
  <c r="I279" i="19"/>
  <c r="N279" i="19" s="1"/>
  <c r="H280" i="19"/>
  <c r="I280" i="19"/>
  <c r="N280" i="19" s="1"/>
  <c r="H281" i="19"/>
  <c r="I281" i="19"/>
  <c r="N281" i="19" s="1"/>
  <c r="H282" i="19"/>
  <c r="I282" i="19"/>
  <c r="N282" i="19" s="1"/>
  <c r="H283" i="19"/>
  <c r="I283" i="19"/>
  <c r="N283" i="19" s="1"/>
  <c r="H284" i="19"/>
  <c r="I284" i="19"/>
  <c r="N284" i="19" s="1"/>
  <c r="H285" i="19"/>
  <c r="I285" i="19"/>
  <c r="N285" i="19" s="1"/>
  <c r="H286" i="19"/>
  <c r="I286" i="19"/>
  <c r="N286" i="19" s="1"/>
  <c r="H287" i="19"/>
  <c r="I287" i="19"/>
  <c r="N287" i="19" s="1"/>
  <c r="H288" i="19"/>
  <c r="I288" i="19"/>
  <c r="N288" i="19" s="1"/>
  <c r="H289" i="19"/>
  <c r="I289" i="19"/>
  <c r="N289" i="19" s="1"/>
  <c r="H290" i="19"/>
  <c r="I290" i="19"/>
  <c r="N290" i="19" s="1"/>
  <c r="H291" i="19"/>
  <c r="I291" i="19"/>
  <c r="N291" i="19" s="1"/>
  <c r="H292" i="19"/>
  <c r="I292" i="19"/>
  <c r="N292" i="19" s="1"/>
  <c r="H293" i="19"/>
  <c r="I293" i="19"/>
  <c r="N293" i="19" s="1"/>
  <c r="H294" i="19"/>
  <c r="I294" i="19"/>
  <c r="N294" i="19" s="1"/>
  <c r="H295" i="19"/>
  <c r="I295" i="19"/>
  <c r="N295" i="19" s="1"/>
  <c r="H296" i="19"/>
  <c r="I296" i="19"/>
  <c r="N296" i="19" s="1"/>
  <c r="H297" i="19"/>
  <c r="I297" i="19"/>
  <c r="N297" i="19" s="1"/>
  <c r="H298" i="19"/>
  <c r="I298" i="19"/>
  <c r="N298" i="19" s="1"/>
  <c r="H299" i="19"/>
  <c r="I299" i="19"/>
  <c r="N299" i="19" s="1"/>
  <c r="H300" i="19"/>
  <c r="I300" i="19"/>
  <c r="N300" i="19" s="1"/>
  <c r="H301" i="19"/>
  <c r="I301" i="19"/>
  <c r="N301" i="19" s="1"/>
  <c r="H302" i="19"/>
  <c r="I302" i="19"/>
  <c r="N302" i="19" s="1"/>
  <c r="H303" i="19"/>
  <c r="I303" i="19"/>
  <c r="N303" i="19" s="1"/>
  <c r="H304" i="19"/>
  <c r="I304" i="19"/>
  <c r="N304" i="19" s="1"/>
  <c r="H305" i="19"/>
  <c r="I305" i="19"/>
  <c r="N305" i="19" s="1"/>
  <c r="H306" i="19"/>
  <c r="I306" i="19"/>
  <c r="N306" i="19" s="1"/>
  <c r="H307" i="19"/>
  <c r="I307" i="19"/>
  <c r="N307" i="19" s="1"/>
  <c r="H308" i="19"/>
  <c r="I308" i="19"/>
  <c r="N308" i="19" s="1"/>
  <c r="H309" i="19"/>
  <c r="I309" i="19"/>
  <c r="N309" i="19" s="1"/>
  <c r="H310" i="19"/>
  <c r="I310" i="19"/>
  <c r="N310" i="19" s="1"/>
  <c r="H311" i="19"/>
  <c r="I311" i="19"/>
  <c r="N311" i="19" s="1"/>
  <c r="H312" i="19"/>
  <c r="I312" i="19"/>
  <c r="N312" i="19" s="1"/>
  <c r="H313" i="19"/>
  <c r="I313" i="19"/>
  <c r="N313" i="19" s="1"/>
  <c r="H314" i="19"/>
  <c r="I314" i="19"/>
  <c r="N314" i="19" s="1"/>
  <c r="H315" i="19"/>
  <c r="I315" i="19"/>
  <c r="N315" i="19" s="1"/>
  <c r="H316" i="19"/>
  <c r="I316" i="19"/>
  <c r="N316" i="19" s="1"/>
  <c r="H317" i="19"/>
  <c r="I317" i="19"/>
  <c r="N317" i="19" s="1"/>
  <c r="H318" i="19"/>
  <c r="I318" i="19"/>
  <c r="N318" i="19" s="1"/>
  <c r="H319" i="19"/>
  <c r="I319" i="19"/>
  <c r="N319" i="19" s="1"/>
  <c r="H320" i="19"/>
  <c r="I320" i="19"/>
  <c r="N320" i="19" s="1"/>
  <c r="H321" i="19"/>
  <c r="I321" i="19"/>
  <c r="N321" i="19" s="1"/>
  <c r="H322" i="19"/>
  <c r="I322" i="19"/>
  <c r="N322" i="19" s="1"/>
  <c r="H323" i="19"/>
  <c r="I323" i="19"/>
  <c r="N323" i="19" s="1"/>
  <c r="H324" i="19"/>
  <c r="I324" i="19"/>
  <c r="N324" i="19" s="1"/>
  <c r="H325" i="19"/>
  <c r="I325" i="19"/>
  <c r="N325" i="19" s="1"/>
  <c r="H326" i="19"/>
  <c r="I326" i="19"/>
  <c r="N326" i="19" s="1"/>
  <c r="H327" i="19"/>
  <c r="I327" i="19"/>
  <c r="N327" i="19" s="1"/>
  <c r="H328" i="19"/>
  <c r="I328" i="19"/>
  <c r="N328" i="19" s="1"/>
  <c r="H329" i="19"/>
  <c r="I329" i="19"/>
  <c r="N329" i="19" s="1"/>
  <c r="H330" i="19"/>
  <c r="I330" i="19"/>
  <c r="N330" i="19" s="1"/>
  <c r="H331" i="19"/>
  <c r="I331" i="19"/>
  <c r="N331" i="19" s="1"/>
  <c r="H332" i="19"/>
  <c r="I332" i="19"/>
  <c r="N332" i="19" s="1"/>
  <c r="H333" i="19"/>
  <c r="I333" i="19"/>
  <c r="N333" i="19" s="1"/>
  <c r="H334" i="19"/>
  <c r="I334" i="19"/>
  <c r="N334" i="19" s="1"/>
  <c r="H335" i="19"/>
  <c r="I335" i="19"/>
  <c r="N335" i="19" s="1"/>
  <c r="H336" i="19"/>
  <c r="I336" i="19"/>
  <c r="N336" i="19" s="1"/>
  <c r="H337" i="19"/>
  <c r="I337" i="19"/>
  <c r="N337" i="19" s="1"/>
  <c r="H338" i="19"/>
  <c r="I338" i="19"/>
  <c r="N338" i="19" s="1"/>
  <c r="H339" i="19"/>
  <c r="I339" i="19"/>
  <c r="N339" i="19" s="1"/>
  <c r="H340" i="19"/>
  <c r="I340" i="19"/>
  <c r="N340" i="19" s="1"/>
  <c r="H341" i="19"/>
  <c r="I341" i="19"/>
  <c r="N341" i="19" s="1"/>
  <c r="H342" i="19"/>
  <c r="I342" i="19"/>
  <c r="N342" i="19" s="1"/>
  <c r="H343" i="19"/>
  <c r="I343" i="19"/>
  <c r="N343" i="19" s="1"/>
  <c r="H344" i="19"/>
  <c r="I344" i="19"/>
  <c r="N344" i="19" s="1"/>
  <c r="H345" i="19"/>
  <c r="I345" i="19"/>
  <c r="N345" i="19" s="1"/>
  <c r="H346" i="19"/>
  <c r="I346" i="19"/>
  <c r="N346" i="19" s="1"/>
  <c r="H347" i="19"/>
  <c r="I347" i="19"/>
  <c r="N347" i="19" s="1"/>
  <c r="H348" i="19"/>
  <c r="I348" i="19"/>
  <c r="N348" i="19" s="1"/>
  <c r="H349" i="19"/>
  <c r="I349" i="19"/>
  <c r="N349" i="19" s="1"/>
  <c r="H350" i="19"/>
  <c r="I350" i="19"/>
  <c r="N350" i="19" s="1"/>
  <c r="H351" i="19"/>
  <c r="I351" i="19"/>
  <c r="N351" i="19" s="1"/>
  <c r="H352" i="19"/>
  <c r="I352" i="19"/>
  <c r="N352" i="19" s="1"/>
  <c r="H353" i="19"/>
  <c r="I353" i="19"/>
  <c r="N353" i="19" s="1"/>
  <c r="H354" i="19"/>
  <c r="I354" i="19"/>
  <c r="N354" i="19" s="1"/>
  <c r="H355" i="19"/>
  <c r="I355" i="19"/>
  <c r="N355" i="19" s="1"/>
  <c r="H356" i="19"/>
  <c r="I356" i="19"/>
  <c r="N356" i="19" s="1"/>
  <c r="H357" i="19"/>
  <c r="I357" i="19"/>
  <c r="N357" i="19" s="1"/>
  <c r="H358" i="19"/>
  <c r="I358" i="19"/>
  <c r="N358" i="19" s="1"/>
  <c r="H359" i="19"/>
  <c r="I359" i="19"/>
  <c r="N359" i="19" s="1"/>
  <c r="H360" i="19"/>
  <c r="I360" i="19"/>
  <c r="N360" i="19" s="1"/>
  <c r="H361" i="19"/>
  <c r="I361" i="19"/>
  <c r="N361" i="19" s="1"/>
  <c r="H362" i="19"/>
  <c r="I362" i="19"/>
  <c r="N362" i="19" s="1"/>
  <c r="H363" i="19"/>
  <c r="I363" i="19"/>
  <c r="N363" i="19" s="1"/>
  <c r="H364" i="19"/>
  <c r="I364" i="19"/>
  <c r="N364" i="19" s="1"/>
  <c r="H365" i="19"/>
  <c r="I365" i="19"/>
  <c r="N365" i="19" s="1"/>
  <c r="H366" i="19"/>
  <c r="I366" i="19"/>
  <c r="N366" i="19" s="1"/>
  <c r="H367" i="19"/>
  <c r="I367" i="19"/>
  <c r="N367" i="19" s="1"/>
  <c r="H368" i="19"/>
  <c r="I368" i="19"/>
  <c r="N368" i="19" s="1"/>
  <c r="H369" i="19"/>
  <c r="I369" i="19"/>
  <c r="N369" i="19" s="1"/>
  <c r="H370" i="19"/>
  <c r="I370" i="19"/>
  <c r="N370" i="19" s="1"/>
  <c r="H371" i="19"/>
  <c r="I371" i="19"/>
  <c r="N371" i="19" s="1"/>
  <c r="H372" i="19"/>
  <c r="I372" i="19"/>
  <c r="N372" i="19" s="1"/>
  <c r="H373" i="19"/>
  <c r="I373" i="19"/>
  <c r="N373" i="19" s="1"/>
  <c r="H374" i="19"/>
  <c r="I374" i="19"/>
  <c r="N374" i="19" s="1"/>
  <c r="H375" i="19"/>
  <c r="I375" i="19"/>
  <c r="N375" i="19" s="1"/>
  <c r="H376" i="19"/>
  <c r="I376" i="19"/>
  <c r="N376" i="19" s="1"/>
  <c r="H377" i="19"/>
  <c r="I377" i="19"/>
  <c r="N377" i="19" s="1"/>
  <c r="H378" i="19"/>
  <c r="I378" i="19"/>
  <c r="N378" i="19" s="1"/>
  <c r="H379" i="19"/>
  <c r="I379" i="19"/>
  <c r="N379" i="19" s="1"/>
  <c r="H380" i="19"/>
  <c r="I380" i="19"/>
  <c r="N380" i="19" s="1"/>
  <c r="H381" i="19"/>
  <c r="I381" i="19"/>
  <c r="N381" i="19" s="1"/>
  <c r="H382" i="19"/>
  <c r="I382" i="19"/>
  <c r="N382" i="19" s="1"/>
  <c r="H383" i="19"/>
  <c r="I383" i="19"/>
  <c r="N383" i="19" s="1"/>
  <c r="H384" i="19"/>
  <c r="I384" i="19"/>
  <c r="N384" i="19" s="1"/>
  <c r="H385" i="19"/>
  <c r="I385" i="19"/>
  <c r="N385" i="19" s="1"/>
  <c r="H386" i="19"/>
  <c r="I386" i="19"/>
  <c r="N386" i="19" s="1"/>
  <c r="H387" i="19"/>
  <c r="I387" i="19"/>
  <c r="N387" i="19" s="1"/>
  <c r="H388" i="19"/>
  <c r="I388" i="19"/>
  <c r="N388" i="19" s="1"/>
  <c r="H389" i="19"/>
  <c r="I389" i="19"/>
  <c r="N389" i="19" s="1"/>
  <c r="H390" i="19"/>
  <c r="I390" i="19"/>
  <c r="N390" i="19" s="1"/>
  <c r="H391" i="19"/>
  <c r="I391" i="19"/>
  <c r="N391" i="19" s="1"/>
  <c r="H392" i="19"/>
  <c r="I392" i="19"/>
  <c r="N392" i="19" s="1"/>
  <c r="H393" i="19"/>
  <c r="I393" i="19"/>
  <c r="N393" i="19" s="1"/>
  <c r="H394" i="19"/>
  <c r="I394" i="19"/>
  <c r="N394" i="19" s="1"/>
  <c r="H395" i="19"/>
  <c r="I395" i="19"/>
  <c r="N395" i="19" s="1"/>
  <c r="H396" i="19"/>
  <c r="I396" i="19"/>
  <c r="N396" i="19" s="1"/>
  <c r="H397" i="19"/>
  <c r="I397" i="19"/>
  <c r="N397" i="19" s="1"/>
  <c r="H398" i="19"/>
  <c r="I398" i="19"/>
  <c r="N398" i="19" s="1"/>
  <c r="H399" i="19"/>
  <c r="I399" i="19"/>
  <c r="N399" i="19" s="1"/>
  <c r="H400" i="19"/>
  <c r="I400" i="19"/>
  <c r="N400" i="19" s="1"/>
  <c r="H401" i="19"/>
  <c r="I401" i="19"/>
  <c r="N401" i="19" s="1"/>
  <c r="H402" i="19"/>
  <c r="I402" i="19"/>
  <c r="N402" i="19" s="1"/>
  <c r="H403" i="19"/>
  <c r="I403" i="19"/>
  <c r="N403" i="19" s="1"/>
  <c r="H404" i="19"/>
  <c r="I404" i="19"/>
  <c r="N404" i="19" s="1"/>
  <c r="H405" i="19"/>
  <c r="I405" i="19"/>
  <c r="N405" i="19" s="1"/>
  <c r="H406" i="19"/>
  <c r="I406" i="19"/>
  <c r="N406" i="19" s="1"/>
  <c r="H407" i="19"/>
  <c r="I407" i="19"/>
  <c r="N407" i="19" s="1"/>
  <c r="H408" i="19"/>
  <c r="I408" i="19"/>
  <c r="N408" i="19" s="1"/>
  <c r="H409" i="19"/>
  <c r="I409" i="19"/>
  <c r="N409" i="19" s="1"/>
  <c r="H410" i="19"/>
  <c r="I410" i="19"/>
  <c r="N410" i="19" s="1"/>
  <c r="H411" i="19"/>
  <c r="I411" i="19"/>
  <c r="N411" i="19" s="1"/>
  <c r="H412" i="19"/>
  <c r="I412" i="19"/>
  <c r="N412" i="19" s="1"/>
  <c r="H413" i="19"/>
  <c r="I413" i="19"/>
  <c r="N413" i="19" s="1"/>
  <c r="H414" i="19"/>
  <c r="I414" i="19"/>
  <c r="N414" i="19" s="1"/>
  <c r="H415" i="19"/>
  <c r="I415" i="19"/>
  <c r="N415" i="19" s="1"/>
  <c r="H416" i="19"/>
  <c r="I416" i="19"/>
  <c r="N416" i="19" s="1"/>
  <c r="H417" i="19"/>
  <c r="I417" i="19"/>
  <c r="N417" i="19" s="1"/>
  <c r="H418" i="19"/>
  <c r="I418" i="19"/>
  <c r="N418" i="19" s="1"/>
  <c r="H419" i="19"/>
  <c r="I419" i="19"/>
  <c r="N419" i="19" s="1"/>
  <c r="H420" i="19"/>
  <c r="I420" i="19"/>
  <c r="N420" i="19" s="1"/>
  <c r="H421" i="19"/>
  <c r="I421" i="19"/>
  <c r="N421" i="19" s="1"/>
  <c r="H422" i="19"/>
  <c r="I422" i="19"/>
  <c r="N422" i="19" s="1"/>
  <c r="H423" i="19"/>
  <c r="I423" i="19"/>
  <c r="N423" i="19" s="1"/>
  <c r="H424" i="19"/>
  <c r="I424" i="19"/>
  <c r="N424" i="19" s="1"/>
  <c r="H425" i="19"/>
  <c r="I425" i="19"/>
  <c r="N425" i="19" s="1"/>
  <c r="H426" i="19"/>
  <c r="I426" i="19"/>
  <c r="N426" i="19" s="1"/>
  <c r="H427" i="19"/>
  <c r="I427" i="19"/>
  <c r="N427" i="19" s="1"/>
  <c r="H428" i="19"/>
  <c r="I428" i="19"/>
  <c r="N428" i="19" s="1"/>
  <c r="H429" i="19"/>
  <c r="I429" i="19"/>
  <c r="N429" i="19" s="1"/>
  <c r="H430" i="19"/>
  <c r="I430" i="19"/>
  <c r="N430" i="19" s="1"/>
  <c r="H431" i="19"/>
  <c r="I431" i="19"/>
  <c r="N431" i="19" s="1"/>
  <c r="H432" i="19"/>
  <c r="I432" i="19"/>
  <c r="N432" i="19" s="1"/>
  <c r="H433" i="19"/>
  <c r="I433" i="19"/>
  <c r="N433" i="19" s="1"/>
  <c r="H434" i="19"/>
  <c r="I434" i="19"/>
  <c r="N434" i="19" s="1"/>
  <c r="H435" i="19"/>
  <c r="I435" i="19"/>
  <c r="N435" i="19" s="1"/>
  <c r="H436" i="19"/>
  <c r="I436" i="19"/>
  <c r="N436" i="19" s="1"/>
  <c r="H437" i="19"/>
  <c r="I437" i="19"/>
  <c r="N437" i="19" s="1"/>
  <c r="H438" i="19"/>
  <c r="I438" i="19"/>
  <c r="N438" i="19" s="1"/>
  <c r="H439" i="19"/>
  <c r="I439" i="19"/>
  <c r="N439" i="19" s="1"/>
  <c r="H440" i="19"/>
  <c r="I440" i="19"/>
  <c r="N440" i="19" s="1"/>
  <c r="H441" i="19"/>
  <c r="I441" i="19"/>
  <c r="N441" i="19" s="1"/>
  <c r="H442" i="19"/>
  <c r="I442" i="19"/>
  <c r="N442" i="19" s="1"/>
  <c r="H443" i="19"/>
  <c r="I443" i="19"/>
  <c r="N443" i="19" s="1"/>
  <c r="H444" i="19"/>
  <c r="I444" i="19"/>
  <c r="N444" i="19" s="1"/>
  <c r="H445" i="19"/>
  <c r="I445" i="19"/>
  <c r="N445" i="19" s="1"/>
  <c r="H446" i="19"/>
  <c r="I446" i="19"/>
  <c r="N446" i="19" s="1"/>
  <c r="H447" i="19"/>
  <c r="I447" i="19"/>
  <c r="N447" i="19" s="1"/>
  <c r="H448" i="19"/>
  <c r="I448" i="19"/>
  <c r="N448" i="19" s="1"/>
  <c r="H449" i="19"/>
  <c r="I449" i="19"/>
  <c r="N449" i="19" s="1"/>
  <c r="H450" i="19"/>
  <c r="I450" i="19"/>
  <c r="N450" i="19" s="1"/>
  <c r="H451" i="19"/>
  <c r="I451" i="19"/>
  <c r="N451" i="19" s="1"/>
  <c r="H452" i="19"/>
  <c r="I452" i="19"/>
  <c r="N452" i="19" s="1"/>
  <c r="H453" i="19"/>
  <c r="I453" i="19"/>
  <c r="N453" i="19" s="1"/>
  <c r="H454" i="19"/>
  <c r="I454" i="19"/>
  <c r="N454" i="19" s="1"/>
  <c r="H455" i="19"/>
  <c r="I455" i="19"/>
  <c r="N455" i="19" s="1"/>
  <c r="H456" i="19"/>
  <c r="I456" i="19"/>
  <c r="N456" i="19" s="1"/>
  <c r="H457" i="19"/>
  <c r="I457" i="19"/>
  <c r="N457" i="19" s="1"/>
  <c r="H458" i="19"/>
  <c r="I458" i="19"/>
  <c r="N458" i="19" s="1"/>
  <c r="H459" i="19"/>
  <c r="I459" i="19"/>
  <c r="N459" i="19" s="1"/>
  <c r="H460" i="19"/>
  <c r="I460" i="19"/>
  <c r="N460" i="19" s="1"/>
  <c r="H461" i="19"/>
  <c r="I461" i="19"/>
  <c r="N461" i="19" s="1"/>
  <c r="H462" i="19"/>
  <c r="I462" i="19"/>
  <c r="N462" i="19" s="1"/>
  <c r="H463" i="19"/>
  <c r="I463" i="19"/>
  <c r="N463" i="19" s="1"/>
  <c r="H464" i="19"/>
  <c r="I464" i="19"/>
  <c r="N464" i="19" s="1"/>
  <c r="H465" i="19"/>
  <c r="I465" i="19"/>
  <c r="N465" i="19" s="1"/>
  <c r="H466" i="19"/>
  <c r="I466" i="19"/>
  <c r="N466" i="19" s="1"/>
  <c r="H467" i="19"/>
  <c r="I467" i="19"/>
  <c r="N467" i="19" s="1"/>
  <c r="H468" i="19"/>
  <c r="I468" i="19"/>
  <c r="N468" i="19" s="1"/>
  <c r="H469" i="19"/>
  <c r="I469" i="19"/>
  <c r="N469" i="19" s="1"/>
  <c r="H470" i="19"/>
  <c r="I470" i="19"/>
  <c r="N470" i="19" s="1"/>
  <c r="H471" i="19"/>
  <c r="I471" i="19"/>
  <c r="N471" i="19" s="1"/>
  <c r="H472" i="19"/>
  <c r="I472" i="19"/>
  <c r="N472" i="19" s="1"/>
  <c r="H473" i="19"/>
  <c r="I473" i="19"/>
  <c r="N473" i="19" s="1"/>
  <c r="H474" i="19"/>
  <c r="I474" i="19"/>
  <c r="N474" i="19" s="1"/>
  <c r="H475" i="19"/>
  <c r="I475" i="19"/>
  <c r="N475" i="19" s="1"/>
  <c r="H476" i="19"/>
  <c r="I476" i="19"/>
  <c r="N476" i="19" s="1"/>
  <c r="H477" i="19"/>
  <c r="I477" i="19"/>
  <c r="N477" i="19" s="1"/>
  <c r="H478" i="19"/>
  <c r="I478" i="19"/>
  <c r="N478" i="19" s="1"/>
  <c r="H479" i="19"/>
  <c r="I479" i="19"/>
  <c r="N479" i="19" s="1"/>
  <c r="H480" i="19"/>
  <c r="I480" i="19"/>
  <c r="N480" i="19" s="1"/>
  <c r="H481" i="19"/>
  <c r="I481" i="19"/>
  <c r="N481" i="19" s="1"/>
  <c r="H482" i="19"/>
  <c r="I482" i="19"/>
  <c r="N482" i="19" s="1"/>
  <c r="H483" i="19"/>
  <c r="I483" i="19"/>
  <c r="N483" i="19" s="1"/>
  <c r="H484" i="19"/>
  <c r="I484" i="19"/>
  <c r="N484" i="19" s="1"/>
  <c r="H485" i="19"/>
  <c r="I485" i="19"/>
  <c r="N485" i="19" s="1"/>
  <c r="H486" i="19"/>
  <c r="I486" i="19"/>
  <c r="N486" i="19" s="1"/>
  <c r="H487" i="19"/>
  <c r="I487" i="19"/>
  <c r="N487" i="19" s="1"/>
  <c r="H488" i="19"/>
  <c r="I488" i="19"/>
  <c r="N488" i="19" s="1"/>
  <c r="H489" i="19"/>
  <c r="I489" i="19"/>
  <c r="N489" i="19" s="1"/>
  <c r="H490" i="19"/>
  <c r="I490" i="19"/>
  <c r="N490" i="19" s="1"/>
  <c r="H491" i="19"/>
  <c r="I491" i="19"/>
  <c r="N491" i="19" s="1"/>
  <c r="H492" i="19"/>
  <c r="I492" i="19"/>
  <c r="N492" i="19" s="1"/>
  <c r="H493" i="19"/>
  <c r="I493" i="19"/>
  <c r="N493" i="19" s="1"/>
  <c r="H494" i="19"/>
  <c r="I494" i="19"/>
  <c r="N494" i="19" s="1"/>
  <c r="H495" i="19"/>
  <c r="I495" i="19"/>
  <c r="N495" i="19" s="1"/>
  <c r="H496" i="19"/>
  <c r="I496" i="19"/>
  <c r="N496" i="19" s="1"/>
  <c r="H497" i="19"/>
  <c r="I497" i="19"/>
  <c r="N497" i="19" s="1"/>
  <c r="H498" i="19"/>
  <c r="I498" i="19"/>
  <c r="N498" i="19" s="1"/>
  <c r="H499" i="19"/>
  <c r="I499" i="19"/>
  <c r="N499" i="19" s="1"/>
  <c r="H500" i="19"/>
  <c r="I500" i="19"/>
  <c r="N500" i="19" s="1"/>
  <c r="H501" i="19"/>
  <c r="I501" i="19"/>
  <c r="N501" i="19" s="1"/>
  <c r="H502" i="19"/>
  <c r="I502" i="19"/>
  <c r="N502" i="19" s="1"/>
  <c r="H503" i="19"/>
  <c r="I503" i="19"/>
  <c r="N503" i="19" s="1"/>
  <c r="H504" i="19"/>
  <c r="I504" i="19"/>
  <c r="N504" i="19" s="1"/>
  <c r="H505" i="19"/>
  <c r="I505" i="19"/>
  <c r="N505" i="19" s="1"/>
  <c r="H506" i="19"/>
  <c r="I506" i="19"/>
  <c r="N506" i="19" s="1"/>
  <c r="H507" i="19"/>
  <c r="I507" i="19"/>
  <c r="N507" i="19" s="1"/>
  <c r="H508" i="19"/>
  <c r="I508" i="19"/>
  <c r="N508" i="19" s="1"/>
  <c r="H509" i="19"/>
  <c r="I509" i="19"/>
  <c r="N509" i="19" s="1"/>
  <c r="H510" i="19"/>
  <c r="I510" i="19"/>
  <c r="N510" i="19" s="1"/>
  <c r="H511" i="19"/>
  <c r="I511" i="19"/>
  <c r="N511" i="19" s="1"/>
  <c r="H512" i="19"/>
  <c r="I512" i="19"/>
  <c r="N512" i="19" s="1"/>
  <c r="H513" i="19"/>
  <c r="I513" i="19"/>
  <c r="N513" i="19" s="1"/>
  <c r="H514" i="19"/>
  <c r="I514" i="19"/>
  <c r="N514" i="19" s="1"/>
  <c r="H515" i="19"/>
  <c r="I515" i="19"/>
  <c r="N515" i="19" s="1"/>
  <c r="H516" i="19"/>
  <c r="I516" i="19"/>
  <c r="N516" i="19" s="1"/>
  <c r="H517" i="19"/>
  <c r="I517" i="19"/>
  <c r="N517" i="19" s="1"/>
  <c r="H518" i="19"/>
  <c r="I518" i="19"/>
  <c r="N518" i="19" s="1"/>
  <c r="H519" i="19"/>
  <c r="I519" i="19"/>
  <c r="N519" i="19" s="1"/>
  <c r="H520" i="19"/>
  <c r="I520" i="19"/>
  <c r="N520" i="19" s="1"/>
  <c r="H521" i="19"/>
  <c r="I521" i="19"/>
  <c r="N521" i="19" s="1"/>
  <c r="H522" i="19"/>
  <c r="I522" i="19"/>
  <c r="N522" i="19" s="1"/>
  <c r="H523" i="19"/>
  <c r="I523" i="19"/>
  <c r="N523" i="19" s="1"/>
  <c r="H524" i="19"/>
  <c r="I524" i="19"/>
  <c r="N524" i="19" s="1"/>
  <c r="H525" i="19"/>
  <c r="I525" i="19"/>
  <c r="N525" i="19" s="1"/>
  <c r="H526" i="19"/>
  <c r="I526" i="19"/>
  <c r="N526" i="19" s="1"/>
  <c r="H527" i="19"/>
  <c r="I527" i="19"/>
  <c r="N527" i="19" s="1"/>
  <c r="H528" i="19"/>
  <c r="I528" i="19"/>
  <c r="N528" i="19" s="1"/>
  <c r="H529" i="19"/>
  <c r="I529" i="19"/>
  <c r="N529" i="19" s="1"/>
  <c r="H530" i="19"/>
  <c r="I530" i="19"/>
  <c r="N530" i="19" s="1"/>
  <c r="H531" i="19"/>
  <c r="I531" i="19"/>
  <c r="N531" i="19" s="1"/>
  <c r="H532" i="19"/>
  <c r="I532" i="19"/>
  <c r="N532" i="19" s="1"/>
  <c r="H533" i="19"/>
  <c r="I533" i="19"/>
  <c r="N533" i="19" s="1"/>
  <c r="H534" i="19"/>
  <c r="I534" i="19"/>
  <c r="N534" i="19" s="1"/>
  <c r="H535" i="19"/>
  <c r="I535" i="19"/>
  <c r="N535" i="19" s="1"/>
  <c r="H536" i="19"/>
  <c r="I536" i="19"/>
  <c r="N536" i="19" s="1"/>
  <c r="H537" i="19"/>
  <c r="I537" i="19"/>
  <c r="N537" i="19" s="1"/>
  <c r="H538" i="19"/>
  <c r="I538" i="19"/>
  <c r="N538" i="19" s="1"/>
  <c r="H539" i="19"/>
  <c r="I539" i="19"/>
  <c r="N539" i="19" s="1"/>
  <c r="H540" i="19"/>
  <c r="I540" i="19"/>
  <c r="N540" i="19" s="1"/>
  <c r="H541" i="19"/>
  <c r="I541" i="19"/>
  <c r="N541" i="19" s="1"/>
  <c r="H542" i="19"/>
  <c r="I542" i="19"/>
  <c r="N542" i="19" s="1"/>
  <c r="H543" i="19"/>
  <c r="I543" i="19"/>
  <c r="N543" i="19" s="1"/>
  <c r="H544" i="19"/>
  <c r="I544" i="19"/>
  <c r="N544" i="19" s="1"/>
  <c r="H545" i="19"/>
  <c r="I545" i="19"/>
  <c r="N545" i="19" s="1"/>
  <c r="H546" i="19"/>
  <c r="I546" i="19"/>
  <c r="N546" i="19" s="1"/>
  <c r="H547" i="19"/>
  <c r="I547" i="19"/>
  <c r="N547" i="19" s="1"/>
  <c r="H548" i="19"/>
  <c r="I548" i="19"/>
  <c r="N548" i="19" s="1"/>
  <c r="H549" i="19"/>
  <c r="I549" i="19"/>
  <c r="N549" i="19" s="1"/>
  <c r="H550" i="19"/>
  <c r="I550" i="19"/>
  <c r="N550" i="19" s="1"/>
  <c r="H551" i="19"/>
  <c r="I551" i="19"/>
  <c r="N551" i="19" s="1"/>
  <c r="H552" i="19"/>
  <c r="I552" i="19"/>
  <c r="N552" i="19" s="1"/>
  <c r="H553" i="19"/>
  <c r="I553" i="19"/>
  <c r="N553" i="19" s="1"/>
  <c r="H554" i="19"/>
  <c r="I554" i="19"/>
  <c r="N554" i="19" s="1"/>
  <c r="H555" i="19"/>
  <c r="I555" i="19"/>
  <c r="N555" i="19" s="1"/>
  <c r="H556" i="19"/>
  <c r="I556" i="19"/>
  <c r="N556" i="19" s="1"/>
  <c r="H557" i="19"/>
  <c r="I557" i="19"/>
  <c r="N557" i="19" s="1"/>
  <c r="H558" i="19"/>
  <c r="I558" i="19"/>
  <c r="N558" i="19" s="1"/>
  <c r="H559" i="19"/>
  <c r="I559" i="19"/>
  <c r="N559" i="19" s="1"/>
  <c r="H560" i="19"/>
  <c r="I560" i="19"/>
  <c r="N560" i="19" s="1"/>
  <c r="H561" i="19"/>
  <c r="I561" i="19"/>
  <c r="N561" i="19" s="1"/>
  <c r="H562" i="19"/>
  <c r="I562" i="19"/>
  <c r="N562" i="19" s="1"/>
  <c r="H563" i="19"/>
  <c r="I563" i="19"/>
  <c r="N563" i="19" s="1"/>
  <c r="H564" i="19"/>
  <c r="I564" i="19"/>
  <c r="N564" i="19" s="1"/>
  <c r="H565" i="19"/>
  <c r="I565" i="19"/>
  <c r="N565" i="19" s="1"/>
  <c r="H566" i="19"/>
  <c r="I566" i="19"/>
  <c r="N566" i="19" s="1"/>
  <c r="H567" i="19"/>
  <c r="I567" i="19"/>
  <c r="N567" i="19" s="1"/>
  <c r="H568" i="19"/>
  <c r="I568" i="19"/>
  <c r="N568" i="19" s="1"/>
  <c r="H569" i="19"/>
  <c r="I569" i="19"/>
  <c r="N569" i="19" s="1"/>
  <c r="H570" i="19"/>
  <c r="I570" i="19"/>
  <c r="N570" i="19" s="1"/>
  <c r="H571" i="19"/>
  <c r="I571" i="19"/>
  <c r="N571" i="19" s="1"/>
  <c r="H572" i="19"/>
  <c r="I572" i="19"/>
  <c r="N572" i="19" s="1"/>
  <c r="H573" i="19"/>
  <c r="I573" i="19"/>
  <c r="N573" i="19" s="1"/>
  <c r="H574" i="19"/>
  <c r="I574" i="19"/>
  <c r="N574" i="19" s="1"/>
  <c r="H575" i="19"/>
  <c r="I575" i="19"/>
  <c r="N575" i="19" s="1"/>
  <c r="H576" i="19"/>
  <c r="I576" i="19"/>
  <c r="N576" i="19" s="1"/>
  <c r="H577" i="19"/>
  <c r="I577" i="19"/>
  <c r="N577" i="19" s="1"/>
  <c r="H578" i="19"/>
  <c r="I578" i="19"/>
  <c r="N578" i="19" s="1"/>
  <c r="H579" i="19"/>
  <c r="I579" i="19"/>
  <c r="N579" i="19" s="1"/>
  <c r="H580" i="19"/>
  <c r="I580" i="19"/>
  <c r="N580" i="19" s="1"/>
  <c r="H581" i="19"/>
  <c r="I581" i="19"/>
  <c r="N581" i="19" s="1"/>
  <c r="H582" i="19"/>
  <c r="I582" i="19"/>
  <c r="N582" i="19" s="1"/>
  <c r="H583" i="19"/>
  <c r="I583" i="19"/>
  <c r="N583" i="19" s="1"/>
  <c r="H584" i="19"/>
  <c r="I584" i="19"/>
  <c r="N584" i="19" s="1"/>
  <c r="H585" i="19"/>
  <c r="I585" i="19"/>
  <c r="N585" i="19" s="1"/>
  <c r="H586" i="19"/>
  <c r="I586" i="19"/>
  <c r="N586" i="19" s="1"/>
  <c r="H587" i="19"/>
  <c r="I587" i="19"/>
  <c r="N587" i="19" s="1"/>
  <c r="H588" i="19"/>
  <c r="I588" i="19"/>
  <c r="N588" i="19" s="1"/>
  <c r="H589" i="19"/>
  <c r="I589" i="19"/>
  <c r="N589" i="19" s="1"/>
  <c r="H590" i="19"/>
  <c r="I590" i="19"/>
  <c r="N590" i="19" s="1"/>
  <c r="H591" i="19"/>
  <c r="I591" i="19"/>
  <c r="N591" i="19" s="1"/>
  <c r="H592" i="19"/>
  <c r="I592" i="19"/>
  <c r="N592" i="19" s="1"/>
  <c r="H593" i="19"/>
  <c r="I593" i="19"/>
  <c r="N593" i="19" s="1"/>
  <c r="H594" i="19"/>
  <c r="I594" i="19"/>
  <c r="N594" i="19" s="1"/>
  <c r="H595" i="19"/>
  <c r="I595" i="19"/>
  <c r="N595" i="19" s="1"/>
  <c r="H596" i="19"/>
  <c r="I596" i="19"/>
  <c r="N596" i="19" s="1"/>
  <c r="H597" i="19"/>
  <c r="I597" i="19"/>
  <c r="N597" i="19" s="1"/>
  <c r="H598" i="19"/>
  <c r="I598" i="19"/>
  <c r="N598" i="19" s="1"/>
  <c r="H599" i="19"/>
  <c r="I599" i="19"/>
  <c r="N599" i="19" s="1"/>
  <c r="H600" i="19"/>
  <c r="I600" i="19"/>
  <c r="N600" i="19" s="1"/>
  <c r="H601" i="19"/>
  <c r="I601" i="19"/>
  <c r="N601" i="19" s="1"/>
  <c r="H602" i="19"/>
  <c r="I602" i="19"/>
  <c r="N602" i="19" s="1"/>
  <c r="H603" i="19"/>
  <c r="I603" i="19"/>
  <c r="N603" i="19" s="1"/>
  <c r="H604" i="19"/>
  <c r="I604" i="19"/>
  <c r="N604" i="19" s="1"/>
  <c r="H605" i="19"/>
  <c r="I605" i="19"/>
  <c r="N605" i="19" s="1"/>
  <c r="H606" i="19"/>
  <c r="I606" i="19"/>
  <c r="N606" i="19" s="1"/>
  <c r="H607" i="19"/>
  <c r="I607" i="19"/>
  <c r="N607" i="19" s="1"/>
  <c r="H608" i="19"/>
  <c r="I608" i="19"/>
  <c r="N608" i="19" s="1"/>
  <c r="H609" i="19"/>
  <c r="I609" i="19"/>
  <c r="N609" i="19" s="1"/>
  <c r="H610" i="19"/>
  <c r="I610" i="19"/>
  <c r="N610" i="19" s="1"/>
  <c r="H611" i="19"/>
  <c r="I611" i="19"/>
  <c r="N611" i="19" s="1"/>
  <c r="H612" i="19"/>
  <c r="I612" i="19"/>
  <c r="N612" i="19" s="1"/>
  <c r="H613" i="19"/>
  <c r="I613" i="19"/>
  <c r="N613" i="19" s="1"/>
  <c r="H614" i="19"/>
  <c r="I614" i="19"/>
  <c r="N614" i="19" s="1"/>
  <c r="H615" i="19"/>
  <c r="I615" i="19"/>
  <c r="N615" i="19" s="1"/>
  <c r="H616" i="19"/>
  <c r="I616" i="19"/>
  <c r="N616" i="19" s="1"/>
  <c r="H617" i="19"/>
  <c r="I617" i="19"/>
  <c r="N617" i="19" s="1"/>
  <c r="H618" i="19"/>
  <c r="I618" i="19"/>
  <c r="N618" i="19" s="1"/>
  <c r="H619" i="19"/>
  <c r="I619" i="19"/>
  <c r="N619" i="19" s="1"/>
  <c r="H620" i="19"/>
  <c r="I620" i="19"/>
  <c r="N620" i="19" s="1"/>
  <c r="H621" i="19"/>
  <c r="I621" i="19"/>
  <c r="N621" i="19" s="1"/>
  <c r="H622" i="19"/>
  <c r="I622" i="19"/>
  <c r="N622" i="19" s="1"/>
  <c r="H623" i="19"/>
  <c r="I623" i="19"/>
  <c r="N623" i="19" s="1"/>
  <c r="H624" i="19"/>
  <c r="I624" i="19"/>
  <c r="N624" i="19" s="1"/>
  <c r="H625" i="19"/>
  <c r="I625" i="19"/>
  <c r="N625" i="19" s="1"/>
  <c r="H626" i="19"/>
  <c r="I626" i="19"/>
  <c r="N626" i="19" s="1"/>
  <c r="H627" i="19"/>
  <c r="I627" i="19"/>
  <c r="N627" i="19" s="1"/>
  <c r="H628" i="19"/>
  <c r="I628" i="19"/>
  <c r="N628" i="19" s="1"/>
  <c r="H629" i="19"/>
  <c r="I629" i="19"/>
  <c r="N629" i="19" s="1"/>
  <c r="Q9" i="19" l="1"/>
  <c r="Q8" i="19"/>
  <c r="H18" i="20"/>
  <c r="M18" i="20" s="1"/>
  <c r="H2" i="20"/>
  <c r="M2" i="20" s="1"/>
  <c r="H21" i="20"/>
  <c r="M21" i="20" s="1"/>
  <c r="H25" i="20"/>
  <c r="M25" i="20" s="1"/>
  <c r="H3" i="20"/>
  <c r="M3" i="20" s="1"/>
  <c r="H15" i="20"/>
  <c r="M15" i="20" s="1"/>
  <c r="H13" i="20"/>
  <c r="M13" i="20" s="1"/>
  <c r="H7" i="20"/>
  <c r="M7" i="20" s="1"/>
  <c r="H20" i="20"/>
  <c r="M20" i="20" s="1"/>
  <c r="H24" i="20"/>
  <c r="M24" i="20" s="1"/>
  <c r="H22" i="20"/>
  <c r="M22" i="20" s="1"/>
  <c r="H9" i="20"/>
  <c r="M9" i="20" s="1"/>
  <c r="H11" i="20"/>
  <c r="M11" i="20" s="1"/>
  <c r="H19" i="20"/>
  <c r="M19" i="20" s="1"/>
  <c r="H14" i="20"/>
  <c r="M14" i="20" s="1"/>
  <c r="H23" i="20"/>
  <c r="M23" i="20" s="1"/>
  <c r="H10" i="20"/>
  <c r="M10" i="20" s="1"/>
  <c r="J2" i="24" l="1"/>
  <c r="E26" i="21"/>
  <c r="E27" i="21"/>
  <c r="E19" i="21"/>
  <c r="E20" i="21"/>
  <c r="E21" i="21"/>
  <c r="E22" i="21"/>
  <c r="K4" i="21"/>
  <c r="K5" i="21"/>
  <c r="K7" i="21"/>
  <c r="K8" i="21"/>
  <c r="K9" i="21"/>
  <c r="K10" i="21"/>
  <c r="K11" i="21"/>
  <c r="K12" i="21"/>
  <c r="H12" i="20"/>
  <c r="M12" i="20" s="1"/>
  <c r="H6" i="20"/>
  <c r="M6" i="20" s="1"/>
  <c r="H17" i="20"/>
  <c r="M17" i="20" s="1"/>
  <c r="H5" i="20"/>
  <c r="M5" i="20" s="1"/>
  <c r="H4" i="20"/>
  <c r="M4" i="20" s="1"/>
  <c r="G31" i="20"/>
  <c r="H31" i="20" s="1"/>
  <c r="M31" i="20" s="1"/>
  <c r="H30" i="20"/>
  <c r="M30" i="20" s="1"/>
  <c r="F28" i="20"/>
  <c r="H28" i="20" s="1"/>
  <c r="M28" i="20" s="1"/>
  <c r="H26" i="20"/>
  <c r="M26" i="20" s="1"/>
  <c r="H29" i="20"/>
  <c r="M29" i="20" s="1"/>
  <c r="H27" i="20"/>
  <c r="M27" i="20" s="1"/>
  <c r="H16" i="20"/>
  <c r="M16" i="20" s="1"/>
  <c r="H8" i="20"/>
  <c r="M8" i="20" s="1"/>
  <c r="J22" i="24" l="1"/>
  <c r="J23" i="24"/>
  <c r="J21" i="24"/>
  <c r="E28" i="21"/>
  <c r="F26" i="21" s="1"/>
  <c r="F32" i="21" s="1"/>
  <c r="M36" i="20"/>
  <c r="E23" i="21"/>
  <c r="F21" i="21" s="1"/>
  <c r="M35" i="20"/>
  <c r="F27" i="21" l="1"/>
  <c r="F19" i="21"/>
  <c r="F31" i="21" s="1"/>
  <c r="F33" i="21" s="1"/>
  <c r="F20" i="21"/>
  <c r="F22" i="21"/>
  <c r="L13" i="21" l="1"/>
  <c r="L3" i="21"/>
  <c r="L16" i="21" s="1"/>
  <c r="Q16" i="21" s="1"/>
  <c r="L12" i="21"/>
  <c r="L7" i="21"/>
  <c r="L5" i="21"/>
  <c r="L8" i="21"/>
  <c r="L10" i="21"/>
  <c r="L4" i="21"/>
  <c r="L15" i="21" s="1"/>
  <c r="L6" i="21"/>
  <c r="L11" i="21"/>
  <c r="L9" i="21"/>
  <c r="L17" i="21"/>
  <c r="Q17" i="21" s="1"/>
</calcChain>
</file>

<file path=xl/sharedStrings.xml><?xml version="1.0" encoding="utf-8"?>
<sst xmlns="http://schemas.openxmlformats.org/spreadsheetml/2006/main" count="5208" uniqueCount="1994">
  <si>
    <t>Australia</t>
  </si>
  <si>
    <t>Brazil</t>
  </si>
  <si>
    <t>Canada</t>
  </si>
  <si>
    <t>Chile</t>
  </si>
  <si>
    <t>China</t>
  </si>
  <si>
    <t>Dominican Republic</t>
  </si>
  <si>
    <t>France</t>
  </si>
  <si>
    <t>Germany</t>
  </si>
  <si>
    <t>Hungary</t>
  </si>
  <si>
    <t>India</t>
  </si>
  <si>
    <t>Israel</t>
  </si>
  <si>
    <t>Japan</t>
  </si>
  <si>
    <t>Jordan</t>
  </si>
  <si>
    <t>Kazakhstan</t>
  </si>
  <si>
    <t>Malaysia</t>
  </si>
  <si>
    <t>Mexico</t>
  </si>
  <si>
    <t>Pakistan</t>
  </si>
  <si>
    <t>Philippines</t>
  </si>
  <si>
    <t>Puerto Rico</t>
  </si>
  <si>
    <t>South Africa</t>
  </si>
  <si>
    <t>Thailand</t>
  </si>
  <si>
    <t>Turkey</t>
  </si>
  <si>
    <t>United Kingdom</t>
  </si>
  <si>
    <t>Uruguay</t>
  </si>
  <si>
    <t>Maize</t>
  </si>
  <si>
    <t>Potatoes</t>
  </si>
  <si>
    <t>Wheat</t>
  </si>
  <si>
    <t>Soybeans</t>
  </si>
  <si>
    <t>Cassava</t>
  </si>
  <si>
    <t>Country</t>
  </si>
  <si>
    <t>Solar Star (I and II)</t>
  </si>
  <si>
    <t> United States</t>
  </si>
  <si>
    <t>Topaz Solar Farm</t>
  </si>
  <si>
    <t>Desert Sunlight Solar Farm</t>
  </si>
  <si>
    <t>Agua Caliente Solar Project</t>
  </si>
  <si>
    <t>Antelope Valley Solar Ranch</t>
  </si>
  <si>
    <t>California Valley Solar Ranch</t>
  </si>
  <si>
    <t>Cestas Solar Park</t>
  </si>
  <si>
    <t> France</t>
  </si>
  <si>
    <t>Copper Mountain Solar Facility</t>
  </si>
  <si>
    <t>Mount Signal Solar</t>
  </si>
  <si>
    <t>Mesquite Solar project</t>
  </si>
  <si>
    <t xml:space="preserve"> </t>
  </si>
  <si>
    <t>Project Name</t>
  </si>
  <si>
    <t>Site area (Ha)</t>
  </si>
  <si>
    <t>Commercial Operation Date</t>
  </si>
  <si>
    <t>44.725297,-0.815134</t>
  </si>
  <si>
    <t>Gréoux-les-Bains</t>
  </si>
  <si>
    <t>43.776,5.822</t>
  </si>
  <si>
    <t>Stowbridge extn</t>
  </si>
  <si>
    <t>52.312,0.222</t>
  </si>
  <si>
    <t>Solarpark Burg</t>
  </si>
  <si>
    <t>51.78,14.088</t>
  </si>
  <si>
    <t>Hibiki Takataya</t>
  </si>
  <si>
    <t>33.921,130.771</t>
  </si>
  <si>
    <t>Sevor</t>
  </si>
  <si>
    <t>51.5959,-1.7214</t>
  </si>
  <si>
    <t>Roc du Doun</t>
  </si>
  <si>
    <t>45.2088,2.0065</t>
  </si>
  <si>
    <t>Oriana</t>
  </si>
  <si>
    <t>18.495,-67.05</t>
  </si>
  <si>
    <t>El Romero</t>
  </si>
  <si>
    <t>-29.112,-70.915</t>
  </si>
  <si>
    <t>Crundale I</t>
  </si>
  <si>
    <t>51.817,-4.924</t>
  </si>
  <si>
    <t>Tarlac</t>
  </si>
  <si>
    <t>15.447,120.646</t>
  </si>
  <si>
    <t>Saijo Itochu</t>
  </si>
  <si>
    <t>33.943,133.114</t>
  </si>
  <si>
    <t>Langenhahn</t>
  </si>
  <si>
    <t>50.5891,7.9232</t>
  </si>
  <si>
    <t>Digos II</t>
  </si>
  <si>
    <t>6.773,125.285</t>
  </si>
  <si>
    <t>Ashkelon</t>
  </si>
  <si>
    <t>31.714,34.68</t>
  </si>
  <si>
    <t>Salaunes </t>
  </si>
  <si>
    <t>44.913,-0.871</t>
  </si>
  <si>
    <t>Ōita Marubeni</t>
  </si>
  <si>
    <t>33.258,131.717</t>
  </si>
  <si>
    <t>La Carlota 2A</t>
  </si>
  <si>
    <t>10.422,122.937</t>
  </si>
  <si>
    <t>Bottom Plain</t>
  </si>
  <si>
    <t>50.713,-2.165</t>
  </si>
  <si>
    <t>Glebe Farm</t>
  </si>
  <si>
    <t>52.251,-0.586</t>
  </si>
  <si>
    <t>Kamenoko</t>
  </si>
  <si>
    <t>32.013,131.375</t>
  </si>
  <si>
    <t>Gemas</t>
  </si>
  <si>
    <t>2.596,102.621</t>
  </si>
  <si>
    <t>Don José</t>
  </si>
  <si>
    <t>21.344,-100.596</t>
  </si>
  <si>
    <t>34.929296,-118.334442</t>
  </si>
  <si>
    <t>Sealand</t>
  </si>
  <si>
    <t>53.242,-3.022</t>
  </si>
  <si>
    <t>33.343538,-112.923192</t>
  </si>
  <si>
    <t>Halutziot</t>
  </si>
  <si>
    <t>31.232,34.453</t>
  </si>
  <si>
    <t>Jasper</t>
  </si>
  <si>
    <t xml:space="preserve"> -28.304,23.383</t>
  </si>
  <si>
    <t>Sepalco</t>
  </si>
  <si>
    <t>11.14,124.922</t>
  </si>
  <si>
    <t>Wang Man I</t>
  </si>
  <si>
    <t>17.182,99.128</t>
  </si>
  <si>
    <t>Kayseri OSB</t>
  </si>
  <si>
    <t>38.709,35.334</t>
  </si>
  <si>
    <t>Chañares</t>
  </si>
  <si>
    <t>-26.375,-70.08</t>
  </si>
  <si>
    <t>Tomatoh Abira</t>
  </si>
  <si>
    <t>42.7146,141.793</t>
  </si>
  <si>
    <t>Langelé</t>
  </si>
  <si>
    <t>43.889,-0.951</t>
  </si>
  <si>
    <t>Showa</t>
  </si>
  <si>
    <t>36.641,139.115</t>
  </si>
  <si>
    <t>Cabasse</t>
  </si>
  <si>
    <t>43.449,6.23</t>
  </si>
  <si>
    <t>Bungala I</t>
  </si>
  <si>
    <t xml:space="preserve"> -32.427,137.838</t>
  </si>
  <si>
    <t>Mishmar HaNegev</t>
  </si>
  <si>
    <t>31.371,34.716</t>
  </si>
  <si>
    <t>Şahinkaya Köyü</t>
  </si>
  <si>
    <t>38.715,39.125</t>
  </si>
  <si>
    <t>Sol-Luce Kingston</t>
  </si>
  <si>
    <t>44.309,-76.652</t>
  </si>
  <si>
    <t>Eqiao</t>
  </si>
  <si>
    <t>31.152,118.327</t>
  </si>
  <si>
    <t>Sunningdale</t>
  </si>
  <si>
    <t>43.074,-81.157</t>
  </si>
  <si>
    <t>Redcrest</t>
  </si>
  <si>
    <t>United States</t>
  </si>
  <si>
    <t>35.32,-118.811</t>
  </si>
  <si>
    <t>Burdur 18</t>
  </si>
  <si>
    <t>37.507,30.012</t>
  </si>
  <si>
    <t>Grand Renewable</t>
  </si>
  <si>
    <t>42.889,-79.806</t>
  </si>
  <si>
    <t>Red Hills</t>
  </si>
  <si>
    <t>37.894,-112.886</t>
  </si>
  <si>
    <t>Hazerim</t>
  </si>
  <si>
    <t>31.2475,34.7099</t>
  </si>
  <si>
    <t>Schipkau A1</t>
  </si>
  <si>
    <t>51.488,13.875</t>
  </si>
  <si>
    <t>Bungala II</t>
  </si>
  <si>
    <t>-32.408,137.841</t>
  </si>
  <si>
    <t>Dunai</t>
  </si>
  <si>
    <t>47.333,18.906</t>
  </si>
  <si>
    <t>Anahola</t>
  </si>
  <si>
    <t>22.129,-159.307</t>
  </si>
  <si>
    <t>Monte Plata</t>
  </si>
  <si>
    <t>18.819,-69.79</t>
  </si>
  <si>
    <t>Kuala Sawah</t>
  </si>
  <si>
    <t>2.6352,101.9397</t>
  </si>
  <si>
    <t>Montgomery</t>
  </si>
  <si>
    <t>35.345,-79.766</t>
  </si>
  <si>
    <t>Gannawarra</t>
  </si>
  <si>
    <t xml:space="preserve"> -35.732,143.784</t>
  </si>
  <si>
    <t>Oryx Ma'an</t>
  </si>
  <si>
    <t>30.216,35.613</t>
  </si>
  <si>
    <t>Datong Yingli</t>
  </si>
  <si>
    <t>40.419,113.753</t>
  </si>
  <si>
    <t>Kathu</t>
  </si>
  <si>
    <t>-27.6005,22.9194</t>
  </si>
  <si>
    <t>Royalla</t>
  </si>
  <si>
    <t>-35.49,149.143</t>
  </si>
  <si>
    <t>Ketura</t>
  </si>
  <si>
    <t>29.96,35.07</t>
  </si>
  <si>
    <t>Amanecer</t>
  </si>
  <si>
    <t xml:space="preserve"> -27.122,-70.168</t>
  </si>
  <si>
    <t>Quaid-e-Azam CSC II</t>
  </si>
  <si>
    <t>29.302,71.833</t>
  </si>
  <si>
    <t>Palaswade</t>
  </si>
  <si>
    <t>17.56,74.835</t>
  </si>
  <si>
    <t>Azhagapuri</t>
  </si>
  <si>
    <t>11.1936,78.4584</t>
  </si>
  <si>
    <t>Crucero</t>
  </si>
  <si>
    <t>-22.22,-69.576</t>
  </si>
  <si>
    <t>Valenzuela</t>
  </si>
  <si>
    <t>14.7018,120.9527</t>
  </si>
  <si>
    <t>Le Bétout</t>
  </si>
  <si>
    <t>44.901,-0.911</t>
  </si>
  <si>
    <t>Gonghe Sky</t>
  </si>
  <si>
    <t>36.287,100.57</t>
  </si>
  <si>
    <t>Beidacun</t>
  </si>
  <si>
    <t>24.835,103.412</t>
  </si>
  <si>
    <t>Clare</t>
  </si>
  <si>
    <t>-19.838,147.206</t>
  </si>
  <si>
    <t>Camargo</t>
  </si>
  <si>
    <t>27.652,-105.076</t>
  </si>
  <si>
    <t>Kui Buri</t>
  </si>
  <si>
    <t>12.047,99.829</t>
  </si>
  <si>
    <t>Großbeeren</t>
  </si>
  <si>
    <t>52.338,13.266</t>
  </si>
  <si>
    <t>Karur</t>
  </si>
  <si>
    <t>10.816,78.186</t>
  </si>
  <si>
    <t>Boha</t>
  </si>
  <si>
    <t>29.8217,75.5313</t>
  </si>
  <si>
    <t>NPKSP_ Tata I</t>
  </si>
  <si>
    <t>14.026,78.434</t>
  </si>
  <si>
    <t>35.885189,-114.95717</t>
  </si>
  <si>
    <t>33.817301,-115.391704</t>
  </si>
  <si>
    <t>Moree</t>
  </si>
  <si>
    <t>-29.566,149.866</t>
  </si>
  <si>
    <t>Javiera</t>
  </si>
  <si>
    <t>-26.303,-70.216</t>
  </si>
  <si>
    <t>Teutschenthal</t>
  </si>
  <si>
    <t>51.474,11.789</t>
  </si>
  <si>
    <t>Bruining</t>
  </si>
  <si>
    <t>44.987,-75.021</t>
  </si>
  <si>
    <t>Pulida</t>
  </si>
  <si>
    <t>-29.046,24.927</t>
  </si>
  <si>
    <t>Toksun I</t>
  </si>
  <si>
    <t>42.244,88.315</t>
  </si>
  <si>
    <t>Dahe</t>
  </si>
  <si>
    <t>41.067,114.373</t>
  </si>
  <si>
    <t>32.677886,-115.671743</t>
  </si>
  <si>
    <t>Don Chedi</t>
  </si>
  <si>
    <t>14.633,99.891</t>
  </si>
  <si>
    <t>Jordan Solar One</t>
  </si>
  <si>
    <t>32.439,36.1</t>
  </si>
  <si>
    <t>Lampang</t>
  </si>
  <si>
    <t>18.393,99.422</t>
  </si>
  <si>
    <t>Watson Seed</t>
  </si>
  <si>
    <t>36.131,-77.735</t>
  </si>
  <si>
    <t>Kolanpaka</t>
  </si>
  <si>
    <t>17.6703,79.0307</t>
  </si>
  <si>
    <t>32.978404,-113.492914</t>
  </si>
  <si>
    <t>Kettleman</t>
  </si>
  <si>
    <t>36.057,-119.944</t>
  </si>
  <si>
    <t>Verde Vale III</t>
  </si>
  <si>
    <t>-14.156,-42.735</t>
  </si>
  <si>
    <t>Burnoye</t>
  </si>
  <si>
    <t>42.714,70.823</t>
  </si>
  <si>
    <t>34.773594,-118.422512</t>
  </si>
  <si>
    <t>Alte Kaserne</t>
  </si>
  <si>
    <t>51.609,12.3167</t>
  </si>
  <si>
    <t>Uribe</t>
  </si>
  <si>
    <t>-23.559,-70.214</t>
  </si>
  <si>
    <t>Diego de Almagro ENEL</t>
  </si>
  <si>
    <t>-26.382,-70.02</t>
  </si>
  <si>
    <t>35.378076,-120.066241</t>
  </si>
  <si>
    <t>Nakhonsawan</t>
  </si>
  <si>
    <t>15.369,100.302</t>
  </si>
  <si>
    <t>De Aar 3</t>
  </si>
  <si>
    <t>-30.5968,24.0987</t>
  </si>
  <si>
    <t>Raslag</t>
  </si>
  <si>
    <t>15.132,120.635</t>
  </si>
  <si>
    <t>35.322327,-119.916072</t>
  </si>
  <si>
    <t>Phitsanulok</t>
  </si>
  <si>
    <t>17.072,100.118</t>
  </si>
  <si>
    <t>Meitarim</t>
  </si>
  <si>
    <t>31.3663,35.0043</t>
  </si>
  <si>
    <t>Sishen</t>
  </si>
  <si>
    <t>-27.584,22.933</t>
  </si>
  <si>
    <t>Herbert</t>
  </si>
  <si>
    <t xml:space="preserve"> -29.001,23.799</t>
  </si>
  <si>
    <t>Design output (GWh/year)</t>
  </si>
  <si>
    <t>MWp (AC or DC)</t>
  </si>
  <si>
    <t>Annual Electricity kWh/m2/y</t>
  </si>
  <si>
    <t>Metzukei Timna</t>
  </si>
  <si>
    <t>29.7598,34.9816</t>
  </si>
  <si>
    <t>Greefspan</t>
  </si>
  <si>
    <t>-29.389,23.313</t>
  </si>
  <si>
    <t>Davis-Monthan</t>
  </si>
  <si>
    <t>32.1749,-110.8985</t>
  </si>
  <si>
    <t>Mafraq I</t>
  </si>
  <si>
    <t>32.354,36.292</t>
  </si>
  <si>
    <t>Searchlight</t>
  </si>
  <si>
    <t>35.486,-114.94</t>
  </si>
  <si>
    <t>Woodmere</t>
  </si>
  <si>
    <t>35.3,-118.841</t>
  </si>
  <si>
    <t>Aspiration G</t>
  </si>
  <si>
    <t>36.549,-120.345</t>
  </si>
  <si>
    <t>Marchigüe I</t>
  </si>
  <si>
    <t>-34.336,-71.539</t>
  </si>
  <si>
    <t>Khao Yao</t>
  </si>
  <si>
    <t>13.275,99.78</t>
  </si>
  <si>
    <t>Kampung Wai Agri-Solar</t>
  </si>
  <si>
    <t>6.4141,100.1385</t>
  </si>
  <si>
    <t>Centrala</t>
  </si>
  <si>
    <t>6.3338,124.7444</t>
  </si>
  <si>
    <t>Sakon Nakhon 2 [SN2]</t>
  </si>
  <si>
    <t>17.435,103.726</t>
  </si>
  <si>
    <t>La Jacinta</t>
  </si>
  <si>
    <t xml:space="preserve"> -31.431,-57.911</t>
  </si>
  <si>
    <t>Jacksonville NW</t>
  </si>
  <si>
    <t>30.518,-81.681</t>
  </si>
  <si>
    <t>Balagong I</t>
  </si>
  <si>
    <t>40.2,107.045</t>
  </si>
  <si>
    <t>Broadway</t>
  </si>
  <si>
    <t>34.3097,-78.8338</t>
  </si>
  <si>
    <t>Soluga II</t>
  </si>
  <si>
    <t>34.4998,-78.6893</t>
  </si>
  <si>
    <t>Chauncey</t>
  </si>
  <si>
    <t>34.332,-78.529</t>
  </si>
  <si>
    <t>Railroad NC2</t>
  </si>
  <si>
    <t>34.809,-78.952</t>
  </si>
  <si>
    <t>Laurel Hill NC</t>
  </si>
  <si>
    <t>34.795,-79.54</t>
  </si>
  <si>
    <t>Soluga I</t>
  </si>
  <si>
    <t>35.242,-78.387</t>
  </si>
  <si>
    <t>Erwin</t>
  </si>
  <si>
    <t>35.3343,-78.6615</t>
  </si>
  <si>
    <t>Wayne I</t>
  </si>
  <si>
    <t>35.2225,-78.0195</t>
  </si>
  <si>
    <t>Rockwell</t>
  </si>
  <si>
    <t>35.5414,-80.4745</t>
  </si>
  <si>
    <t>Shichengzi V</t>
  </si>
  <si>
    <t>43.01,93.602</t>
  </si>
  <si>
    <t>Duplin I</t>
  </si>
  <si>
    <t>34.9612,-77.9797</t>
  </si>
  <si>
    <t>Wayne II</t>
  </si>
  <si>
    <t>35.314,-78.08</t>
  </si>
  <si>
    <t>Spicewood</t>
  </si>
  <si>
    <t>35.303,-79.702</t>
  </si>
  <si>
    <t>Wayne III</t>
  </si>
  <si>
    <t>35.324,-77.874</t>
  </si>
  <si>
    <t>Daniel</t>
  </si>
  <si>
    <t>35.848,-80.553</t>
  </si>
  <si>
    <t>Liushuquan TBEA</t>
  </si>
  <si>
    <t>43.142,92.898</t>
  </si>
  <si>
    <t>Moncure</t>
  </si>
  <si>
    <t>35.5666,-79.0322</t>
  </si>
  <si>
    <t>Tolson</t>
  </si>
  <si>
    <t>35.83,-77.615</t>
  </si>
  <si>
    <t>Selmer Strata</t>
  </si>
  <si>
    <t>35.133,-88.589</t>
  </si>
  <si>
    <t>Mulberry</t>
  </si>
  <si>
    <t>35.149,-88.555</t>
  </si>
  <si>
    <t>Spring Hope</t>
  </si>
  <si>
    <t>35.9493,-78.0931</t>
  </si>
  <si>
    <t>Jakana</t>
  </si>
  <si>
    <t>35.875,-77.081</t>
  </si>
  <si>
    <t>Martin's Creek</t>
  </si>
  <si>
    <t>36.2867,-78.3867</t>
  </si>
  <si>
    <t>Hongmu</t>
  </si>
  <si>
    <t>41.153,113.156</t>
  </si>
  <si>
    <t>Market Reidsville</t>
  </si>
  <si>
    <t>36.3927,-79.6495</t>
  </si>
  <si>
    <t>Bayin Xile I</t>
  </si>
  <si>
    <t>41.1,112.623</t>
  </si>
  <si>
    <t>Ginasservis</t>
  </si>
  <si>
    <t>43.678,5.87</t>
  </si>
  <si>
    <t>Le Mouruen</t>
  </si>
  <si>
    <t>43.2815,5.7769</t>
  </si>
  <si>
    <t>Puits De La Brasque</t>
  </si>
  <si>
    <t>43.448,6.001</t>
  </si>
  <si>
    <t>Châteaurenard</t>
  </si>
  <si>
    <t>43.902,4.866</t>
  </si>
  <si>
    <t>Fujimi-machi</t>
  </si>
  <si>
    <t>35.8948,138.2586</t>
  </si>
  <si>
    <t>Kikugawa Horinouchiya</t>
  </si>
  <si>
    <t>34.669,138.092</t>
  </si>
  <si>
    <t>Saint-Laurent-d`Aigouze</t>
  </si>
  <si>
    <t>43.607,4.199</t>
  </si>
  <si>
    <t>Callian</t>
  </si>
  <si>
    <t>43.64,6.764</t>
  </si>
  <si>
    <t>Montpellier MPL</t>
  </si>
  <si>
    <t>43.5777,3.9571</t>
  </si>
  <si>
    <t>Kikugawa Ishiyama</t>
  </si>
  <si>
    <t>34.67,138.099</t>
  </si>
  <si>
    <t>Boissières</t>
  </si>
  <si>
    <t>43.764,4.237</t>
  </si>
  <si>
    <t>Tuan</t>
  </si>
  <si>
    <t>43.078,88.903</t>
  </si>
  <si>
    <t>IND II</t>
  </si>
  <si>
    <t>39.6956,-86.3237</t>
  </si>
  <si>
    <t>Inami</t>
  </si>
  <si>
    <t>34.723,134.9087</t>
  </si>
  <si>
    <t>Shibushi</t>
  </si>
  <si>
    <t>31.4729,131.0909</t>
  </si>
  <si>
    <t>Makit</t>
  </si>
  <si>
    <t>38.99,77.518</t>
  </si>
  <si>
    <t>Shule</t>
  </si>
  <si>
    <t>39.064,76.144</t>
  </si>
  <si>
    <t>Shibushi CS</t>
  </si>
  <si>
    <t>31.4912,131.1141</t>
  </si>
  <si>
    <t>Komatsushima</t>
  </si>
  <si>
    <t>33.99,134.614</t>
  </si>
  <si>
    <t>Springfield NJ</t>
  </si>
  <si>
    <t>40.039,-74.777</t>
  </si>
  <si>
    <t>Baicheng Linhai</t>
  </si>
  <si>
    <t>45.445,122.778</t>
  </si>
  <si>
    <t>Pouzols-Minervois</t>
  </si>
  <si>
    <t>43.2788,2.7936</t>
  </si>
  <si>
    <t>Kushira</t>
  </si>
  <si>
    <t>31.3702,130.9585</t>
  </si>
  <si>
    <t>Himeji I</t>
  </si>
  <si>
    <t>34.779,134.694</t>
  </si>
  <si>
    <t>Kansai KIX</t>
  </si>
  <si>
    <t>34.429,135.214</t>
  </si>
  <si>
    <t>Arao</t>
  </si>
  <si>
    <t>32.998,130.422</t>
  </si>
  <si>
    <t>Makurazaki KOJ</t>
  </si>
  <si>
    <t>31.2689,130.3566</t>
  </si>
  <si>
    <t>Branchburg</t>
  </si>
  <si>
    <t>40.5595,-74.7125</t>
  </si>
  <si>
    <t>Miikekou</t>
  </si>
  <si>
    <t>33.003, 130.4</t>
  </si>
  <si>
    <t>Nishiki</t>
  </si>
  <si>
    <t>32.23,130.818</t>
  </si>
  <si>
    <t>Uchida</t>
  </si>
  <si>
    <t>32.634,130.719</t>
  </si>
  <si>
    <t>Izumiotsu</t>
  </si>
  <si>
    <t>34.517,135.372</t>
  </si>
  <si>
    <t>Shinkai-machi</t>
  </si>
  <si>
    <t>33.043,130.423</t>
  </si>
  <si>
    <t>Futami III</t>
  </si>
  <si>
    <t>34.4942,136.7616</t>
  </si>
  <si>
    <t>Takayama</t>
  </si>
  <si>
    <t>36.611,138.971</t>
  </si>
  <si>
    <t>Yamamuro</t>
  </si>
  <si>
    <t>34.536,136.517</t>
  </si>
  <si>
    <t>Sallèles-Cabardes</t>
  </si>
  <si>
    <t>43.31,2.41</t>
  </si>
  <si>
    <t>Hoso</t>
  </si>
  <si>
    <t>33.2324,131.7751</t>
  </si>
  <si>
    <t>US Power</t>
  </si>
  <si>
    <t>33.953,131.221</t>
  </si>
  <si>
    <t>Mountain Creek</t>
  </si>
  <si>
    <t>41.167,-74.5468</t>
  </si>
  <si>
    <t>Kitsuki</t>
  </si>
  <si>
    <t>33.4309,131.5481</t>
  </si>
  <si>
    <t>Ashigara-Ōi</t>
  </si>
  <si>
    <t>35.355,139.167</t>
  </si>
  <si>
    <t>Mito Haru</t>
  </si>
  <si>
    <t>36.336,140.3775</t>
  </si>
  <si>
    <t>Benton</t>
  </si>
  <si>
    <t>44.765,-93.857</t>
  </si>
  <si>
    <t>Kumenan</t>
  </si>
  <si>
    <t>34.941,133.975</t>
  </si>
  <si>
    <t>Yamakura</t>
  </si>
  <si>
    <t>35.494,140.131</t>
  </si>
  <si>
    <t>Takidai</t>
  </si>
  <si>
    <t>35.5856,140.3179</t>
  </si>
  <si>
    <t>Takatoge</t>
  </si>
  <si>
    <t>31.5235,130.7646</t>
  </si>
  <si>
    <t>Fukakusa</t>
  </si>
  <si>
    <t>34.951,135.797</t>
  </si>
  <si>
    <t>Fushimi</t>
  </si>
  <si>
    <t>34.957,135.854</t>
  </si>
  <si>
    <t>Yabasekihanto</t>
  </si>
  <si>
    <t>35.0055,135.9109</t>
  </si>
  <si>
    <t>Iwanuma-Rinku</t>
  </si>
  <si>
    <t>38.12,140.924</t>
  </si>
  <si>
    <t>Fontenilles</t>
  </si>
  <si>
    <t>43.5594,1.2054</t>
  </si>
  <si>
    <t>Orgueil</t>
  </si>
  <si>
    <t>43.895,1.419</t>
  </si>
  <si>
    <t>Sukagawa</t>
  </si>
  <si>
    <t>37.233,140.483</t>
  </si>
  <si>
    <t>Kokonoe</t>
  </si>
  <si>
    <t>33.227,131.247</t>
  </si>
  <si>
    <t>Varen</t>
  </si>
  <si>
    <t>44.1517,1.8731</t>
  </si>
  <si>
    <t>Le Croizet</t>
  </si>
  <si>
    <t>44.9194,2.4867</t>
  </si>
  <si>
    <t>Takacho</t>
  </si>
  <si>
    <t>35.0632,134.9521</t>
  </si>
  <si>
    <t>Brach</t>
  </si>
  <si>
    <t>45.048,-0.943</t>
  </si>
  <si>
    <t>Le Tuzan</t>
  </si>
  <si>
    <t>44.4457,-0.5727</t>
  </si>
  <si>
    <t>Luxey</t>
  </si>
  <si>
    <t>44.176,-0.45</t>
  </si>
  <si>
    <t>Villenave</t>
  </si>
  <si>
    <t>43.955,-0.853</t>
  </si>
  <si>
    <t>Garrosse</t>
  </si>
  <si>
    <t>43.977,-0.921</t>
  </si>
  <si>
    <t>Ygos</t>
  </si>
  <si>
    <t>44.031,-0.696</t>
  </si>
  <si>
    <t>Boos</t>
  </si>
  <si>
    <t>43.883,-0.959</t>
  </si>
  <si>
    <t>Magescq</t>
  </si>
  <si>
    <t>43.764,-1.15</t>
  </si>
  <si>
    <t>Geloux</t>
  </si>
  <si>
    <t>44.008,-0.604</t>
  </si>
  <si>
    <t>Hachinohe</t>
  </si>
  <si>
    <t>40.551,141.429</t>
  </si>
  <si>
    <t>43.17,141.703</t>
  </si>
  <si>
    <t>Ofunato</t>
  </si>
  <si>
    <t>39.168,141.719</t>
  </si>
  <si>
    <t>Yufutsu Marubeni</t>
  </si>
  <si>
    <t>42.664,141.724</t>
  </si>
  <si>
    <t>Ker Poiré sur Vie</t>
  </si>
  <si>
    <t>46.747,-1.438</t>
  </si>
  <si>
    <t>Kushiro</t>
  </si>
  <si>
    <t>43.021,144.298</t>
  </si>
  <si>
    <t>Tiper 3</t>
  </si>
  <si>
    <t>46.986,-0.173</t>
  </si>
  <si>
    <t>Misawa</t>
  </si>
  <si>
    <t>40.7704,141.3628</t>
  </si>
  <si>
    <t>Bétheniville</t>
  </si>
  <si>
    <t>49.2893,4.3635</t>
  </si>
  <si>
    <t>Püttlingen</t>
  </si>
  <si>
    <t>49.3241,6.8769</t>
  </si>
  <si>
    <t>Nordband</t>
  </si>
  <si>
    <t>49.2439,6.8827</t>
  </si>
  <si>
    <t>Hohenthurm</t>
  </si>
  <si>
    <t>51.5261,12.1048</t>
  </si>
  <si>
    <t>Four Burrows</t>
  </si>
  <si>
    <t>50.29,-5.146</t>
  </si>
  <si>
    <t>Alderholt</t>
  </si>
  <si>
    <t>50.9065,-1.8408</t>
  </si>
  <si>
    <t>Bradley Upper Farm</t>
  </si>
  <si>
    <t>51.1659,-1.0785</t>
  </si>
  <si>
    <t>QE II floating</t>
  </si>
  <si>
    <t>51.3951,-0.3914</t>
  </si>
  <si>
    <t>Haigh Hall</t>
  </si>
  <si>
    <t>53.7092,-1.5687</t>
  </si>
  <si>
    <t>Technology</t>
  </si>
  <si>
    <t>Decimal Coordinates</t>
  </si>
  <si>
    <t>Italy</t>
  </si>
  <si>
    <t>Archimede</t>
  </si>
  <si>
    <t>Parabolic trough</t>
  </si>
  <si>
    <t>37.133333, 15.216111</t>
  </si>
  <si>
    <t>Agua Prieta II,</t>
  </si>
  <si>
    <t>31.265254, -109.587031</t>
  </si>
  <si>
    <t>Morocco</t>
  </si>
  <si>
    <t> Khi Solar One</t>
  </si>
  <si>
    <t>Power Tower</t>
  </si>
  <si>
    <t xml:space="preserve"> -28.5372222, 021.0775000</t>
  </si>
  <si>
    <t>Spain</t>
  </si>
  <si>
    <t>Planta Solar 10</t>
  </si>
  <si>
    <t>37.445227, -6.248807</t>
  </si>
  <si>
    <t>US</t>
  </si>
  <si>
    <t>Crescent Dunes Solar Energy Project</t>
  </si>
  <si>
    <t>Dahan Power Plant</t>
  </si>
  <si>
    <t>40.3819444°, 115.9375000</t>
  </si>
  <si>
    <t>Gemasolar Thermosolar Plant</t>
  </si>
  <si>
    <t>37.560589, -5.331507</t>
  </si>
  <si>
    <t>Ivanpah Solar Electric Generating System (ISEGS)</t>
  </si>
  <si>
    <t>35.556831, -115.470525</t>
  </si>
  <si>
    <t>Dhursar</t>
  </si>
  <si>
    <t>Linear Fresnel reflector</t>
  </si>
  <si>
    <t>eCare Solar Thermal Project</t>
  </si>
  <si>
    <t>31.035897, -6.866156</t>
  </si>
  <si>
    <t>Arenales</t>
  </si>
  <si>
    <t>Bokpoort</t>
  </si>
  <si>
    <t>-28.728254, 21.992944</t>
  </si>
  <si>
    <t>Helioenergy 1</t>
  </si>
  <si>
    <t>37.571944, -5.146174</t>
  </si>
  <si>
    <t>GJ/tCO2</t>
  </si>
  <si>
    <t>kWh/tCO2</t>
  </si>
  <si>
    <t>kJ/mol</t>
  </si>
  <si>
    <t>kgCO2/MWh</t>
  </si>
  <si>
    <t>MJ/KG_CO2</t>
  </si>
  <si>
    <t>MJ/KG_BIOMASS</t>
  </si>
  <si>
    <t>Paper</t>
  </si>
  <si>
    <t>Process</t>
  </si>
  <si>
    <t>Heat</t>
  </si>
  <si>
    <t>Work</t>
  </si>
  <si>
    <t>Electricity</t>
  </si>
  <si>
    <t>gas input</t>
  </si>
  <si>
    <t>TOTAL</t>
  </si>
  <si>
    <t>Process A</t>
  </si>
  <si>
    <t>Process B</t>
  </si>
  <si>
    <t>Scenarios A, B</t>
  </si>
  <si>
    <t>Scenario C</t>
  </si>
  <si>
    <t>HT aqueous solution</t>
  </si>
  <si>
    <t>LT solid sorbent</t>
  </si>
  <si>
    <t>C</t>
  </si>
  <si>
    <t>H</t>
  </si>
  <si>
    <t>O</t>
  </si>
  <si>
    <t>N</t>
  </si>
  <si>
    <t>CO2</t>
  </si>
  <si>
    <t>CMIP</t>
  </si>
  <si>
    <t>Cambodia</t>
  </si>
  <si>
    <t>10.6347,104.5243</t>
  </si>
  <si>
    <t>Yachimata</t>
  </si>
  <si>
    <t>35.6294,140.3034</t>
  </si>
  <si>
    <t>Sarıoğlan</t>
  </si>
  <si>
    <t>39.064,36.0549</t>
  </si>
  <si>
    <t>Hijau</t>
  </si>
  <si>
    <t>2.3409,102.217</t>
  </si>
  <si>
    <t>Chau Duc</t>
  </si>
  <si>
    <t>Vietnam</t>
  </si>
  <si>
    <t>10.578,107.186</t>
  </si>
  <si>
    <t>Nanao</t>
  </si>
  <si>
    <t>37.065,136.959</t>
  </si>
  <si>
    <t>Hayworth</t>
  </si>
  <si>
    <t>35.323,-118.82</t>
  </si>
  <si>
    <t>Sera Town</t>
  </si>
  <si>
    <t>34.5938,132.9703</t>
  </si>
  <si>
    <t>Ozu</t>
  </si>
  <si>
    <t>32.932,130.915</t>
  </si>
  <si>
    <t>Nankou RTMC</t>
  </si>
  <si>
    <t>40.2376,116.1137</t>
  </si>
  <si>
    <t>Kula Manisa</t>
  </si>
  <si>
    <t>38.601,28.653</t>
  </si>
  <si>
    <t>Usa SGET</t>
  </si>
  <si>
    <t>33.511,131.369</t>
  </si>
  <si>
    <t>Hiyoshibaru</t>
  </si>
  <si>
    <t>33.245,131.759</t>
  </si>
  <si>
    <t>Narmada canal</t>
  </si>
  <si>
    <t>22.351,73.19</t>
  </si>
  <si>
    <t>Kinsley</t>
  </si>
  <si>
    <t>39.794,-75.107</t>
  </si>
  <si>
    <t>Ham Kiem</t>
  </si>
  <si>
    <t>10.905,108.016</t>
  </si>
  <si>
    <t>Central Antelope Dry C</t>
  </si>
  <si>
    <t>34.721,-118.303</t>
  </si>
  <si>
    <t>CentraState Medical</t>
  </si>
  <si>
    <t>40.2356,-74.3219</t>
  </si>
  <si>
    <t>Nasushiobara Renova</t>
  </si>
  <si>
    <t>36.938,139.956</t>
  </si>
  <si>
    <t>Tracy</t>
  </si>
  <si>
    <t>35.798,-78.141</t>
  </si>
  <si>
    <t>Wilson Ward</t>
  </si>
  <si>
    <t>35.7105,-77.9131</t>
  </si>
  <si>
    <t>Claude Green</t>
  </si>
  <si>
    <t>35.8358,-77.2669</t>
  </si>
  <si>
    <t>Victor Dry</t>
  </si>
  <si>
    <t>34.498,-117.471</t>
  </si>
  <si>
    <t>Tenri I</t>
  </si>
  <si>
    <t>34.594,135.911</t>
  </si>
  <si>
    <t>JinZhai</t>
  </si>
  <si>
    <t>31.787,115.908</t>
  </si>
  <si>
    <t>Snow Camp</t>
  </si>
  <si>
    <t>35.864,-79.425</t>
  </si>
  <si>
    <t>Waihonu North</t>
  </si>
  <si>
    <t>21.471,-158.014</t>
  </si>
  <si>
    <t>SID Solar</t>
  </si>
  <si>
    <t>35.2577,-81.5064</t>
  </si>
  <si>
    <t>Jaguar</t>
  </si>
  <si>
    <t>52.6353,-2.1434</t>
  </si>
  <si>
    <t>Coats</t>
  </si>
  <si>
    <t>35.4151,-78.6902</t>
  </si>
  <si>
    <t>Franklinton</t>
  </si>
  <si>
    <t>36.0806,-78.3536</t>
  </si>
  <si>
    <t>Kittrell</t>
  </si>
  <si>
    <t>36.2583,-78.418</t>
  </si>
  <si>
    <t>Elizabethtown</t>
  </si>
  <si>
    <t>34.5837,-78.6202</t>
  </si>
  <si>
    <t>Nash 97</t>
  </si>
  <si>
    <t>35.8523,-78.2065</t>
  </si>
  <si>
    <t>Antelope Big Sky</t>
  </si>
  <si>
    <t>34.69,-118.285</t>
  </si>
  <si>
    <t>Blueberry One</t>
  </si>
  <si>
    <t>35.3131,-78.1557</t>
  </si>
  <si>
    <t>Jintan</t>
  </si>
  <si>
    <t>31.842,119.515</t>
  </si>
  <si>
    <t>Charlotte</t>
  </si>
  <si>
    <t>35.2629,-81.8215</t>
  </si>
  <si>
    <t>Millikan</t>
  </si>
  <si>
    <t>35.818,-79.7712</t>
  </si>
  <si>
    <t>Elliana</t>
  </si>
  <si>
    <t>36.1322,-79.3328</t>
  </si>
  <si>
    <t>Little River I</t>
  </si>
  <si>
    <t>35.5386,-79.8034</t>
  </si>
  <si>
    <t>Kings Bay</t>
  </si>
  <si>
    <t>30.831,-81.56</t>
  </si>
  <si>
    <t>Izunokuni</t>
  </si>
  <si>
    <t>35.058,138.918</t>
  </si>
  <si>
    <t>Bizzell Church 2</t>
  </si>
  <si>
    <t>35.544,-78.1762</t>
  </si>
  <si>
    <t>Flint Hill</t>
  </si>
  <si>
    <t>35.4036,-79.553</t>
  </si>
  <si>
    <t>Mandalay Bay</t>
  </si>
  <si>
    <t>36.0895,-115.1776</t>
  </si>
  <si>
    <t>Pollocksville</t>
  </si>
  <si>
    <t>34.9968,-77.2191</t>
  </si>
  <si>
    <t>Stanford SGS</t>
  </si>
  <si>
    <t>34.843,-118.393</t>
  </si>
  <si>
    <t>Mount Tom</t>
  </si>
  <si>
    <t>42.2691,-72.6032</t>
  </si>
  <si>
    <t>Sun Devil</t>
  </si>
  <si>
    <t>36.4326,-77.9705</t>
  </si>
  <si>
    <t>Bladenboro</t>
  </si>
  <si>
    <t>34.5475,-78.8191</t>
  </si>
  <si>
    <t>Suwa</t>
  </si>
  <si>
    <t>36.017,138.053</t>
  </si>
  <si>
    <t>Warren Place</t>
  </si>
  <si>
    <t>35.0597,-77.8268</t>
  </si>
  <si>
    <t>North Run</t>
  </si>
  <si>
    <t>40.0694,-74.585</t>
  </si>
  <si>
    <t>Meadowbrook</t>
  </si>
  <si>
    <t>35.5561,-80.3869</t>
  </si>
  <si>
    <t>Cohen</t>
  </si>
  <si>
    <t>35.5567,-79.197</t>
  </si>
  <si>
    <t>Mount Olive I</t>
  </si>
  <si>
    <t>35.181,-78.0984</t>
  </si>
  <si>
    <t>Candace</t>
  </si>
  <si>
    <t>35.4878,-78.1917</t>
  </si>
  <si>
    <t>Yotsugoya</t>
  </si>
  <si>
    <t>37.842,138.893</t>
  </si>
  <si>
    <t>Kamikawai</t>
  </si>
  <si>
    <t>36.718,140.073</t>
  </si>
  <si>
    <t>Husky</t>
  </si>
  <si>
    <t>36.2836,-79.5668</t>
  </si>
  <si>
    <t>Angel</t>
  </si>
  <si>
    <t>35.6502,-81.2083</t>
  </si>
  <si>
    <t>Campbell NC</t>
  </si>
  <si>
    <t>34.7138,-79.314</t>
  </si>
  <si>
    <t>Butler 20</t>
  </si>
  <si>
    <t>32.576,-84.316</t>
  </si>
  <si>
    <t>Sunfish</t>
  </si>
  <si>
    <t>35.5576,-78.7345</t>
  </si>
  <si>
    <t>Chei</t>
  </si>
  <si>
    <t>35.8907,-78.1826</t>
  </si>
  <si>
    <t>Floyd</t>
  </si>
  <si>
    <t>34.5085,-79.1372</t>
  </si>
  <si>
    <t>New Bern TWE</t>
  </si>
  <si>
    <t>35.1522,-77.1344</t>
  </si>
  <si>
    <t>Meadows NC</t>
  </si>
  <si>
    <t>35.833,-77.124</t>
  </si>
  <si>
    <t>Langdon</t>
  </si>
  <si>
    <t>35.4477,-78.413</t>
  </si>
  <si>
    <t>Godwin Royal</t>
  </si>
  <si>
    <t>35.2173,-78.6896</t>
  </si>
  <si>
    <t>UC Davis</t>
  </si>
  <si>
    <t>38.52,-121.741</t>
  </si>
  <si>
    <t>Laurinburg TWE</t>
  </si>
  <si>
    <t>34.7576,-79.4254</t>
  </si>
  <si>
    <t>Highwater I</t>
  </si>
  <si>
    <t>35.434,-77.99</t>
  </si>
  <si>
    <t>Vicksburg</t>
  </si>
  <si>
    <t>36.3251,-78.344</t>
  </si>
  <si>
    <t>Heiligengrabe F1</t>
  </si>
  <si>
    <t>53.1676,12.371</t>
  </si>
  <si>
    <t>Simons</t>
  </si>
  <si>
    <t>36.307,-76.997</t>
  </si>
  <si>
    <t>Xingtai floating</t>
  </si>
  <si>
    <t>36.8605,115.6408</t>
  </si>
  <si>
    <t>Fort Detrick</t>
  </si>
  <si>
    <t>39.438,-77.45</t>
  </si>
  <si>
    <t>Deerfield MA</t>
  </si>
  <si>
    <t>42.5626,-72.5887</t>
  </si>
  <si>
    <t>Exum</t>
  </si>
  <si>
    <t>35.3651,-77.4517</t>
  </si>
  <si>
    <t>Kennedy</t>
  </si>
  <si>
    <t>34.9739,-78.0884</t>
  </si>
  <si>
    <t>Barnstable Landfill</t>
  </si>
  <si>
    <t>41.6608,-70.3956</t>
  </si>
  <si>
    <t>Bostic</t>
  </si>
  <si>
    <t>35.38,-81.8135</t>
  </si>
  <si>
    <t>North Lancaster A</t>
  </si>
  <si>
    <t>34.72,-118.312</t>
  </si>
  <si>
    <t>Noacan</t>
  </si>
  <si>
    <t>25.39,-103.317</t>
  </si>
  <si>
    <t>Melinda</t>
  </si>
  <si>
    <t>36.2495,-78.3473</t>
  </si>
  <si>
    <t>Porter</t>
  </si>
  <si>
    <t>35.2185,-77.0714</t>
  </si>
  <si>
    <t>Ivanhoe NC</t>
  </si>
  <si>
    <t>34.533,-78.312</t>
  </si>
  <si>
    <t>Spartan NJ</t>
  </si>
  <si>
    <t>40.044,-74.61</t>
  </si>
  <si>
    <t>Snow Hill</t>
  </si>
  <si>
    <t>35.3955,-77.6206</t>
  </si>
  <si>
    <t>Belvidere</t>
  </si>
  <si>
    <t>36.2507,-76.5026</t>
  </si>
  <si>
    <t>South Louisburg</t>
  </si>
  <si>
    <t>36.057,-78.307</t>
  </si>
  <si>
    <t>Creech 2</t>
  </si>
  <si>
    <t>35.7248,-78.6072</t>
  </si>
  <si>
    <t>Kelford TWE</t>
  </si>
  <si>
    <t>36.1557,-77.2192</t>
  </si>
  <si>
    <t>Lanier</t>
  </si>
  <si>
    <t>34.896,-77.81</t>
  </si>
  <si>
    <t>Jacob</t>
  </si>
  <si>
    <t>36.291,-79.623</t>
  </si>
  <si>
    <t>Old Pageland</t>
  </si>
  <si>
    <t>34.953,-80.483</t>
  </si>
  <si>
    <t>Bearford II</t>
  </si>
  <si>
    <t>34.61,-77.924</t>
  </si>
  <si>
    <t>Kojak</t>
  </si>
  <si>
    <t>35.7998,-78.1005</t>
  </si>
  <si>
    <t>Keen</t>
  </si>
  <si>
    <t>35.4267,-78.4022</t>
  </si>
  <si>
    <t>Caermelyn</t>
  </si>
  <si>
    <t>51.829,-4.638</t>
  </si>
  <si>
    <t>Don Rodrigo</t>
  </si>
  <si>
    <t>37.228,-5.867</t>
  </si>
  <si>
    <t>Guixi CPI</t>
  </si>
  <si>
    <t>28.256,117.214</t>
  </si>
  <si>
    <t>Currin</t>
  </si>
  <si>
    <t>36.2898,-78.634</t>
  </si>
  <si>
    <t>Sangri II</t>
  </si>
  <si>
    <t>29.286,91.911</t>
  </si>
  <si>
    <t>Downs</t>
  </si>
  <si>
    <t>36.3621,-76.9152</t>
  </si>
  <si>
    <t>Biscoe</t>
  </si>
  <si>
    <t>35.383,-79.771</t>
  </si>
  <si>
    <t>Apple One</t>
  </si>
  <si>
    <t>35.63,-81.16</t>
  </si>
  <si>
    <t>Essex Junction</t>
  </si>
  <si>
    <t>44.4858,-73.1368</t>
  </si>
  <si>
    <t>Eastover</t>
  </si>
  <si>
    <t>34.7396,-79.4635</t>
  </si>
  <si>
    <t>West Pemberton</t>
  </si>
  <si>
    <t>40.005,-74.73</t>
  </si>
  <si>
    <t>Walters</t>
  </si>
  <si>
    <t>34.4974,-79.0501</t>
  </si>
  <si>
    <t>Junkyard Lane</t>
  </si>
  <si>
    <t>34.8571,-79.1049</t>
  </si>
  <si>
    <t>Wortham</t>
  </si>
  <si>
    <t>36.3542,-78.381</t>
  </si>
  <si>
    <t>White Farm</t>
  </si>
  <si>
    <t>36.3487,-77.2219</t>
  </si>
  <si>
    <t>Mills Anson</t>
  </si>
  <si>
    <t>34.969,-79.942</t>
  </si>
  <si>
    <t>Bladenboro 1</t>
  </si>
  <si>
    <t>34.535,-78.816</t>
  </si>
  <si>
    <t>Cihanbeyli</t>
  </si>
  <si>
    <t>38.656,32.807</t>
  </si>
  <si>
    <t>Warsaw 65</t>
  </si>
  <si>
    <t>35.002,-78.127</t>
  </si>
  <si>
    <t>Le Soler</t>
  </si>
  <si>
    <t>42.663,2.784</t>
  </si>
  <si>
    <t>Coombeshead</t>
  </si>
  <si>
    <t>50.3822,-3.7587</t>
  </si>
  <si>
    <t>Nick</t>
  </si>
  <si>
    <t>35.992,-79.548</t>
  </si>
  <si>
    <t>Midland NC</t>
  </si>
  <si>
    <t>35.2271,-80.5442</t>
  </si>
  <si>
    <t>Himeji II</t>
  </si>
  <si>
    <t>34.773,134.763</t>
  </si>
  <si>
    <t>Chocowinity O2</t>
  </si>
  <si>
    <t>35.5183,-77.0873</t>
  </si>
  <si>
    <t>Billy Farrow</t>
  </si>
  <si>
    <t>34.322,-79.919</t>
  </si>
  <si>
    <t>Augustus</t>
  </si>
  <si>
    <t>35.602,-77.636</t>
  </si>
  <si>
    <t>Maywood</t>
  </si>
  <si>
    <t>39.739,-86.219</t>
  </si>
  <si>
    <t>Taiwa</t>
  </si>
  <si>
    <t>38.374,140.842</t>
  </si>
  <si>
    <t>Henry Wilson</t>
  </si>
  <si>
    <t>36.3944,-78.6078</t>
  </si>
  <si>
    <t>Hooper</t>
  </si>
  <si>
    <t>37.695,-105.985</t>
  </si>
  <si>
    <t>Green Meadows MA</t>
  </si>
  <si>
    <t>41.6711,-70.5333</t>
  </si>
  <si>
    <t>Alma</t>
  </si>
  <si>
    <t>34.713,-79.304</t>
  </si>
  <si>
    <t>Polmaugan</t>
  </si>
  <si>
    <t>50.4321,-4.6657</t>
  </si>
  <si>
    <t>Kinston Davis</t>
  </si>
  <si>
    <t>35.217,-77.641</t>
  </si>
  <si>
    <t>Mount Holly</t>
  </si>
  <si>
    <t>39.982,-74.766</t>
  </si>
  <si>
    <t>Fairmont O2</t>
  </si>
  <si>
    <t>34.4762,-79.0971</t>
  </si>
  <si>
    <t>Akhisar Asunim</t>
  </si>
  <si>
    <t>38.93,27.971</t>
  </si>
  <si>
    <t>Hirono</t>
  </si>
  <si>
    <t>40.309,141.741</t>
  </si>
  <si>
    <t>Selma</t>
  </si>
  <si>
    <t>35.5765,-78.1834</t>
  </si>
  <si>
    <t>Ogishima Cosmo</t>
  </si>
  <si>
    <t>35.482,139.708</t>
  </si>
  <si>
    <t>St Pauls 1</t>
  </si>
  <si>
    <t>34.769,-78.983</t>
  </si>
  <si>
    <t>X-Way</t>
  </si>
  <si>
    <t>34.761,-79.501</t>
  </si>
  <si>
    <t>Iwamizawa</t>
  </si>
  <si>
    <t>Thornton</t>
  </si>
  <si>
    <t>35.396,-77.662</t>
  </si>
  <si>
    <t>West Salisbury</t>
  </si>
  <si>
    <t>35.668,-80.523</t>
  </si>
  <si>
    <t>Kokomo</t>
  </si>
  <si>
    <t>40.474,-86.147</t>
  </si>
  <si>
    <t>Griffith</t>
  </si>
  <si>
    <t>-34.317,146.119</t>
  </si>
  <si>
    <t>Yanceyville 3</t>
  </si>
  <si>
    <t>36.4281,-79.3514</t>
  </si>
  <si>
    <t>McDonald</t>
  </si>
  <si>
    <t>39.596,-87.474</t>
  </si>
  <si>
    <t>Flash</t>
  </si>
  <si>
    <t>35.756,-81.233</t>
  </si>
  <si>
    <t>Parklands Landfill</t>
  </si>
  <si>
    <t>40.127,-74.711</t>
  </si>
  <si>
    <t>Stout</t>
  </si>
  <si>
    <t>36.078,-79.199</t>
  </si>
  <si>
    <t>Laurinburg Dixie</t>
  </si>
  <si>
    <t>34.761,-79.443</t>
  </si>
  <si>
    <t>Soluga III</t>
  </si>
  <si>
    <t>35.218,-78.673</t>
  </si>
  <si>
    <t>Springfield MI</t>
  </si>
  <si>
    <t>37.246,-93.167</t>
  </si>
  <si>
    <t>Charlton</t>
  </si>
  <si>
    <t>42.1404,-71.99</t>
  </si>
  <si>
    <t>Bladenboro IS31</t>
  </si>
  <si>
    <t>34.541,-78.752</t>
  </si>
  <si>
    <t>Trehawke</t>
  </si>
  <si>
    <t>50.436,-4.379</t>
  </si>
  <si>
    <t>Cedar Branch</t>
  </si>
  <si>
    <t>39.504,-74.963</t>
  </si>
  <si>
    <t>Sonne One</t>
  </si>
  <si>
    <t>35.439,-77.864</t>
  </si>
  <si>
    <t>RUMS} Mahindra</t>
  </si>
  <si>
    <t>24.484,81.595</t>
  </si>
  <si>
    <t>Treasure Valley</t>
  </si>
  <si>
    <t>42.3321,-71.9908</t>
  </si>
  <si>
    <t>Kinston TWE</t>
  </si>
  <si>
    <t>35.298,-77.554</t>
  </si>
  <si>
    <t>Andrew</t>
  </si>
  <si>
    <t>35.161,-77.109</t>
  </si>
  <si>
    <t>Fisher Road</t>
  </si>
  <si>
    <t>41.594,-71.018</t>
  </si>
  <si>
    <t>North Clinton</t>
  </si>
  <si>
    <t>35.043,-78.334</t>
  </si>
  <si>
    <t>Jacobstown</t>
  </si>
  <si>
    <t>40.0649,-74.5828</t>
  </si>
  <si>
    <t>Warrenton Red Hill</t>
  </si>
  <si>
    <t>36.411,-78.131</t>
  </si>
  <si>
    <t>Oro Loma</t>
  </si>
  <si>
    <t>36.877,-120.668</t>
  </si>
  <si>
    <t>Fort Mohave</t>
  </si>
  <si>
    <t>34.9846,-114.5566</t>
  </si>
  <si>
    <t>Porterville</t>
  </si>
  <si>
    <t>36.029,-119.076</t>
  </si>
  <si>
    <t>Sigmon</t>
  </si>
  <si>
    <t>35.612,-81.245</t>
  </si>
  <si>
    <t>Stagecoach</t>
  </si>
  <si>
    <t>36.413,-78.464</t>
  </si>
  <si>
    <t>Roxboro</t>
  </si>
  <si>
    <t>36.4768,-78.9212</t>
  </si>
  <si>
    <t>Shamsuna</t>
  </si>
  <si>
    <t>29.394,35.027</t>
  </si>
  <si>
    <t>Upchurch</t>
  </si>
  <si>
    <t>35.782,-77.883</t>
  </si>
  <si>
    <t>Samarcand</t>
  </si>
  <si>
    <t>35.313,-79.693</t>
  </si>
  <si>
    <t>Fukuroda</t>
  </si>
  <si>
    <t>36.811,140.436</t>
  </si>
  <si>
    <t>Kenansville NC</t>
  </si>
  <si>
    <t>34.9613,-77.98</t>
  </si>
  <si>
    <t>Manway</t>
  </si>
  <si>
    <t>34.7462,-78.4292</t>
  </si>
  <si>
    <t>O'Fallon</t>
  </si>
  <si>
    <t>38.827,-90.678</t>
  </si>
  <si>
    <t>Eden - Jackson Springs</t>
  </si>
  <si>
    <t>35.154,-79.633</t>
  </si>
  <si>
    <t>Holstein</t>
  </si>
  <si>
    <t>34.777,-79.339</t>
  </si>
  <si>
    <t>Hutchinson</t>
  </si>
  <si>
    <t>35.26,-81.518</t>
  </si>
  <si>
    <t>Houston MS</t>
  </si>
  <si>
    <t>33.9266,-88.9976</t>
  </si>
  <si>
    <t>Delco</t>
  </si>
  <si>
    <t>34.32,-78.208</t>
  </si>
  <si>
    <t>Williamston West</t>
  </si>
  <si>
    <t>35.836,-77.108</t>
  </si>
  <si>
    <t>Crockett</t>
  </si>
  <si>
    <t>35.231,-77.554</t>
  </si>
  <si>
    <t>Mile</t>
  </si>
  <si>
    <t>36.2308,-78.9506</t>
  </si>
  <si>
    <t>Foxfire</t>
  </si>
  <si>
    <t>35.2236,-79.5515</t>
  </si>
  <si>
    <t>Turkey Branch</t>
  </si>
  <si>
    <t>34.525,-79.106</t>
  </si>
  <si>
    <t>Yadkinville</t>
  </si>
  <si>
    <t>36.1988,-80.697</t>
  </si>
  <si>
    <t>Tailem Bend</t>
  </si>
  <si>
    <t>-35.276,139.487</t>
  </si>
  <si>
    <t>Barrett Street</t>
  </si>
  <si>
    <t>42.16,-71.874</t>
  </si>
  <si>
    <t>Misenheimer</t>
  </si>
  <si>
    <t>35.469,-80.295</t>
  </si>
  <si>
    <t>Liverton</t>
  </si>
  <si>
    <t>50.6361,-3.3681</t>
  </si>
  <si>
    <t>Collier</t>
  </si>
  <si>
    <t>44.061,-121.227</t>
  </si>
  <si>
    <t>Old Catawba I</t>
  </si>
  <si>
    <t>35.7115,-81.1335</t>
  </si>
  <si>
    <t>Pittsburg CA</t>
  </si>
  <si>
    <t>38.019,-121.867</t>
  </si>
  <si>
    <t>Adera</t>
  </si>
  <si>
    <t>37.12,-120.325</t>
  </si>
  <si>
    <t>Altınekin</t>
  </si>
  <si>
    <t>38.282,32.882</t>
  </si>
  <si>
    <t>Forest Heath</t>
  </si>
  <si>
    <t>52.2792,0.3914</t>
  </si>
  <si>
    <t>Hew Fulton</t>
  </si>
  <si>
    <t>34.784,-79.475</t>
  </si>
  <si>
    <t>Muradwala Dalsingh</t>
  </si>
  <si>
    <t>30.252,74.251</t>
  </si>
  <si>
    <t>Roxboro Road</t>
  </si>
  <si>
    <t>36.327,-78.621</t>
  </si>
  <si>
    <t>Nellis II</t>
  </si>
  <si>
    <t>36.208,-115.048</t>
  </si>
  <si>
    <t>Flemming</t>
  </si>
  <si>
    <t>35.669,-77.383</t>
  </si>
  <si>
    <t>Guyuan</t>
  </si>
  <si>
    <t>41.644,115.601</t>
  </si>
  <si>
    <t>Hardison</t>
  </si>
  <si>
    <t>35.831,-77.023</t>
  </si>
  <si>
    <t>Maxton IS</t>
  </si>
  <si>
    <t>34.804,-79.328</t>
  </si>
  <si>
    <t>Lower End</t>
  </si>
  <si>
    <t>51.3065,-2.0362</t>
  </si>
  <si>
    <t>Southwick MA</t>
  </si>
  <si>
    <t>42.0156,-72.7757</t>
  </si>
  <si>
    <t>Pastime</t>
  </si>
  <si>
    <t>39.521,-87.179</t>
  </si>
  <si>
    <t>Camp Lejeune</t>
  </si>
  <si>
    <t>34.724,-77.351</t>
  </si>
  <si>
    <t>Karapinar</t>
  </si>
  <si>
    <t>37.7412,33.4837</t>
  </si>
  <si>
    <t>Roper</t>
  </si>
  <si>
    <t>35.188,-81.441</t>
  </si>
  <si>
    <t>Goonhilly Downs</t>
  </si>
  <si>
    <t>50.0407,-5.2086</t>
  </si>
  <si>
    <t>Wadesboro 3</t>
  </si>
  <si>
    <t>34.969,-80.052</t>
  </si>
  <si>
    <t>Long Farm 46</t>
  </si>
  <si>
    <t>36.468,-77.617</t>
  </si>
  <si>
    <t>Tytherington</t>
  </si>
  <si>
    <t>51.599,-2.478</t>
  </si>
  <si>
    <t>Iron Horse I</t>
  </si>
  <si>
    <t>42.5855,-71.2696</t>
  </si>
  <si>
    <t>Tout Hill</t>
  </si>
  <si>
    <t>50.6884,-2.2193</t>
  </si>
  <si>
    <t>Tropico</t>
  </si>
  <si>
    <t>35.831,-119.05</t>
  </si>
  <si>
    <t>Koloa</t>
  </si>
  <si>
    <t>21.902,-159.451</t>
  </si>
  <si>
    <t>Thimmalapura</t>
  </si>
  <si>
    <t>14.868,76.815</t>
  </si>
  <si>
    <t>Toyota Deeside</t>
  </si>
  <si>
    <t>53.229,-3.0248</t>
  </si>
  <si>
    <t>Quinto</t>
  </si>
  <si>
    <t>37.122,-121.044</t>
  </si>
  <si>
    <t>Halifax HXO</t>
  </si>
  <si>
    <t>36.438,-77.709</t>
  </si>
  <si>
    <t>Güzelöz</t>
  </si>
  <si>
    <t>38.3928,34.9755</t>
  </si>
  <si>
    <t>Clarkton A</t>
  </si>
  <si>
    <t>34.4994,-78.6534</t>
  </si>
  <si>
    <t>Oakey 2</t>
  </si>
  <si>
    <t>-27.412,151.655</t>
  </si>
  <si>
    <t>Colgreen</t>
  </si>
  <si>
    <t>33.549,-115.983</t>
  </si>
  <si>
    <t>North Nash</t>
  </si>
  <si>
    <t>36.0709,-78.0382</t>
  </si>
  <si>
    <t>Calipatria</t>
  </si>
  <si>
    <t>33.144,-115.499</t>
  </si>
  <si>
    <t>Dragstrip</t>
  </si>
  <si>
    <t>35.756,-81.416</t>
  </si>
  <si>
    <t>Modlin</t>
  </si>
  <si>
    <t>35.8501,-77.1101</t>
  </si>
  <si>
    <t>Los Remedios</t>
  </si>
  <si>
    <t>El Salvador</t>
  </si>
  <si>
    <t>13.584,-89.814</t>
  </si>
  <si>
    <t>Shawboro</t>
  </si>
  <si>
    <t>36.43,-76.085</t>
  </si>
  <si>
    <t>Red Horse 3</t>
  </si>
  <si>
    <t>32.269,-110.155</t>
  </si>
  <si>
    <t>Antelope DSR 1</t>
  </si>
  <si>
    <t>34.655,-118.297</t>
  </si>
  <si>
    <t>Rio Bravo I</t>
  </si>
  <si>
    <t>35.416,-119.63</t>
  </si>
  <si>
    <t>Rhyd-y-Pandy</t>
  </si>
  <si>
    <t>51.699,-3.942</t>
  </si>
  <si>
    <t>Rams Horn</t>
  </si>
  <si>
    <t>35.6429,-77.3122</t>
  </si>
  <si>
    <t>Elevation C</t>
  </si>
  <si>
    <t>34.727,-118.301</t>
  </si>
  <si>
    <t>SKIC 2</t>
  </si>
  <si>
    <t>35.128,-119.25</t>
  </si>
  <si>
    <t>Western Antelope Blue Sky B</t>
  </si>
  <si>
    <t>34.728,-118.313</t>
  </si>
  <si>
    <t>Mount Olive</t>
  </si>
  <si>
    <t>35.201,-78.084</t>
  </si>
  <si>
    <t>Five Points 2</t>
  </si>
  <si>
    <t>36.393,-120.239</t>
  </si>
  <si>
    <t>Rawhide</t>
  </si>
  <si>
    <t>40.852,-105.013</t>
  </si>
  <si>
    <t>Cedar Valley</t>
  </si>
  <si>
    <t>37.8082,-113.0898</t>
  </si>
  <si>
    <t>Funakura</t>
  </si>
  <si>
    <t>36.568,137.236</t>
  </si>
  <si>
    <t>Oakey 1</t>
  </si>
  <si>
    <t>-27.406,151.647</t>
  </si>
  <si>
    <t>Rosamond One</t>
  </si>
  <si>
    <t>34.904,-118.242</t>
  </si>
  <si>
    <t>Hope Mills</t>
  </si>
  <si>
    <t>34.918,-78.936</t>
  </si>
  <si>
    <t>Yanceyville 2</t>
  </si>
  <si>
    <t>36.4138,-79.315</t>
  </si>
  <si>
    <t>Paynesville A</t>
  </si>
  <si>
    <t>45.402,-94.715</t>
  </si>
  <si>
    <t>Tart</t>
  </si>
  <si>
    <t>35.204,-78.68</t>
  </si>
  <si>
    <t>Speedway</t>
  </si>
  <si>
    <t>39.797,-86.223</t>
  </si>
  <si>
    <t>Yadkinville A</t>
  </si>
  <si>
    <t>36.1411,-80.6102</t>
  </si>
  <si>
    <t>Citizen B</t>
  </si>
  <si>
    <t>36.722,-120.43</t>
  </si>
  <si>
    <t>North Lake I</t>
  </si>
  <si>
    <t>33.741,-117.011</t>
  </si>
  <si>
    <t>Walnut Springs</t>
  </si>
  <si>
    <t>32.08,-97.765</t>
  </si>
  <si>
    <t>Savcıllı</t>
  </si>
  <si>
    <t>37.9678,28.7803</t>
  </si>
  <si>
    <t>Buckhorn</t>
  </si>
  <si>
    <t>38.0237,-112.7309</t>
  </si>
  <si>
    <t>Oakboro Fisher</t>
  </si>
  <si>
    <t>35.244,-80.334</t>
  </si>
  <si>
    <t>Avalon 2</t>
  </si>
  <si>
    <t>32.04,-110.958</t>
  </si>
  <si>
    <t>Beacon 3</t>
  </si>
  <si>
    <t>35.25,-118.01</t>
  </si>
  <si>
    <t>Ketton 2</t>
  </si>
  <si>
    <t>52.6416,-0.5616</t>
  </si>
  <si>
    <t>Pumpjack</t>
  </si>
  <si>
    <t>35.417,-119.639</t>
  </si>
  <si>
    <t>Normanton</t>
  </si>
  <si>
    <t>-17.681,141.05</t>
  </si>
  <si>
    <t>Waldorf</t>
  </si>
  <si>
    <t>38.589,-76.876</t>
  </si>
  <si>
    <t>McGoogan</t>
  </si>
  <si>
    <t>34.889,-79.062</t>
  </si>
  <si>
    <t>Lancaster Littlerock</t>
  </si>
  <si>
    <t>34.603,-117.938</t>
  </si>
  <si>
    <t>Wildwood I</t>
  </si>
  <si>
    <t>35.62,-119.567</t>
  </si>
  <si>
    <t>Columbia RE1</t>
  </si>
  <si>
    <t>35.017,-118.177</t>
  </si>
  <si>
    <t>Mauja</t>
  </si>
  <si>
    <t>25.317,79.814</t>
  </si>
  <si>
    <t>Kayenta</t>
  </si>
  <si>
    <t>36.787,-110.24</t>
  </si>
  <si>
    <t>Luning</t>
  </si>
  <si>
    <t>38.545,-118.194</t>
  </si>
  <si>
    <t>Sandstone</t>
  </si>
  <si>
    <t>33.041,-111.452</t>
  </si>
  <si>
    <t>Tom Burke</t>
  </si>
  <si>
    <t>-23.072,27.984</t>
  </si>
  <si>
    <t>Sunrise A</t>
  </si>
  <si>
    <t>45.476,-92.89</t>
  </si>
  <si>
    <t>Newman CA</t>
  </si>
  <si>
    <t>37.367,-121.149</t>
  </si>
  <si>
    <t>Pawpaw</t>
  </si>
  <si>
    <t>32.573,-84.259</t>
  </si>
  <si>
    <t>Red Rock</t>
  </si>
  <si>
    <t>32.555,-111.284</t>
  </si>
  <si>
    <t>Madison ME</t>
  </si>
  <si>
    <t>44.804,-69.84</t>
  </si>
  <si>
    <t>Tomioka</t>
  </si>
  <si>
    <t>37.347,140.973</t>
  </si>
  <si>
    <t>Beaver Run</t>
  </si>
  <si>
    <t>41.153,-74.639</t>
  </si>
  <si>
    <t>Ursa</t>
  </si>
  <si>
    <t>44.672,-93.082</t>
  </si>
  <si>
    <t>Sullivan</t>
  </si>
  <si>
    <t>39.134,-87.414</t>
  </si>
  <si>
    <t>Dariba</t>
  </si>
  <si>
    <t>24.954,74.132</t>
  </si>
  <si>
    <t>Western Antelope Blue Sky</t>
  </si>
  <si>
    <t>34.687,-118.319</t>
  </si>
  <si>
    <t>Wadesboro 1</t>
  </si>
  <si>
    <t>34.991,-80.097</t>
  </si>
  <si>
    <t>Manildra</t>
  </si>
  <si>
    <t>-33.173,148.718</t>
  </si>
  <si>
    <t>New Bern Strata</t>
  </si>
  <si>
    <t>35.208,-77.057</t>
  </si>
  <si>
    <t>Mugga Lane</t>
  </si>
  <si>
    <t>-35.4,149.145</t>
  </si>
  <si>
    <t>Neyveli</t>
  </si>
  <si>
    <t>11.611,79.52</t>
  </si>
  <si>
    <t>Rio Bravo II</t>
  </si>
  <si>
    <t>35.423,-119.629</t>
  </si>
  <si>
    <t>Kapeli</t>
  </si>
  <si>
    <t>23.457,76.118</t>
  </si>
  <si>
    <t>Avalon</t>
  </si>
  <si>
    <t>32.03,-110.959</t>
  </si>
  <si>
    <t>Fire Tower</t>
  </si>
  <si>
    <t>35.454,-79.184</t>
  </si>
  <si>
    <t>Lancaster Dry</t>
  </si>
  <si>
    <t>34.716,-118.291</t>
  </si>
  <si>
    <t>Kham Phran</t>
  </si>
  <si>
    <t>14.821,101.114</t>
  </si>
  <si>
    <t>Kamalpur SUTIP</t>
  </si>
  <si>
    <t>23.049,71.869</t>
  </si>
  <si>
    <t>North Star MN</t>
  </si>
  <si>
    <t>45.486,-92.889</t>
  </si>
  <si>
    <t>Thunderegg</t>
  </si>
  <si>
    <t>43.931,-116.988</t>
  </si>
  <si>
    <t>Sierra Greenworks</t>
  </si>
  <si>
    <t>34.701,-118.337</t>
  </si>
  <si>
    <t>Union Beach I</t>
  </si>
  <si>
    <t>40.4359,-74.1597</t>
  </si>
  <si>
    <t>White River II</t>
  </si>
  <si>
    <t>35.875,-119.463</t>
  </si>
  <si>
    <t>Burgos</t>
  </si>
  <si>
    <t>18.528,120.6378</t>
  </si>
  <si>
    <t>Mojave West</t>
  </si>
  <si>
    <t>35.023,-118.279</t>
  </si>
  <si>
    <t>Stikeleather</t>
  </si>
  <si>
    <t>35.902,-81.105</t>
  </si>
  <si>
    <t>Empire US</t>
  </si>
  <si>
    <t>44.666,-93.109</t>
  </si>
  <si>
    <t>Imperial Valley SDSU</t>
  </si>
  <si>
    <t>32.983,-115.482</t>
  </si>
  <si>
    <t>Vega Merced</t>
  </si>
  <si>
    <t>36.929,-120.805</t>
  </si>
  <si>
    <t>Jinchang Jinko</t>
  </si>
  <si>
    <t>38.507,102.35</t>
  </si>
  <si>
    <t>Old Mill</t>
  </si>
  <si>
    <t>42.409,-121.045</t>
  </si>
  <si>
    <t>Twin Branch</t>
  </si>
  <si>
    <t>41.6863,-86.1219</t>
  </si>
  <si>
    <t>Kachalia I+II</t>
  </si>
  <si>
    <t>23.885,75.899</t>
  </si>
  <si>
    <t>Williamston</t>
  </si>
  <si>
    <t>35.799,-77.064</t>
  </si>
  <si>
    <t>Windsor Cooper Hill</t>
  </si>
  <si>
    <t>35.9663,-76.9129</t>
  </si>
  <si>
    <t>Alamo CA</t>
  </si>
  <si>
    <t>34.685,-117.346</t>
  </si>
  <si>
    <t>Roserock</t>
  </si>
  <si>
    <t>30.958,-103.305</t>
  </si>
  <si>
    <t>Bainbridge</t>
  </si>
  <si>
    <t>30.965,-84.626</t>
  </si>
  <si>
    <t>Linde</t>
  </si>
  <si>
    <t>-30.998,24.649</t>
  </si>
  <si>
    <t>Conetoe II</t>
  </si>
  <si>
    <t>35.816,-77.488</t>
  </si>
  <si>
    <t>Grifton A</t>
  </si>
  <si>
    <t>35.3522,-77.4705</t>
  </si>
  <si>
    <t>Antelope DSR 2</t>
  </si>
  <si>
    <t>34.687,-118.312</t>
  </si>
  <si>
    <t>Handan</t>
  </si>
  <si>
    <t>36.437,114.084</t>
  </si>
  <si>
    <t>Simco</t>
  </si>
  <si>
    <t>43.325,-115.938</t>
  </si>
  <si>
    <t>Lost Hills Blackwell</t>
  </si>
  <si>
    <t>35.625,-119.856</t>
  </si>
  <si>
    <t>Midjil</t>
  </si>
  <si>
    <t>16.743,78.358</t>
  </si>
  <si>
    <t>Butler 103</t>
  </si>
  <si>
    <t>32.588,-84.3</t>
  </si>
  <si>
    <t>Rosamond Two</t>
  </si>
  <si>
    <t>34.904,-118.253</t>
  </si>
  <si>
    <t>Ganeshpura</t>
  </si>
  <si>
    <t>23.9622,76.7195</t>
  </si>
  <si>
    <t>Regulus</t>
  </si>
  <si>
    <t>35.302,-118.851</t>
  </si>
  <si>
    <t>Jacobson</t>
  </si>
  <si>
    <t>35.303,-114.013</t>
  </si>
  <si>
    <t>CID Solar</t>
  </si>
  <si>
    <t>36.13,-119.544</t>
  </si>
  <si>
    <t>Yabukinakajima</t>
  </si>
  <si>
    <t>37.16,140.358</t>
  </si>
  <si>
    <t>Victor Phelan</t>
  </si>
  <si>
    <t>34.513,-117.481</t>
  </si>
  <si>
    <t>Kelford CP</t>
  </si>
  <si>
    <t>36.155,-77.208</t>
  </si>
  <si>
    <t>Conetoe I</t>
  </si>
  <si>
    <t>35.828,-77.459</t>
  </si>
  <si>
    <t>Langley</t>
  </si>
  <si>
    <t>35.8,-77.85</t>
  </si>
  <si>
    <t>Wye Mills</t>
  </si>
  <si>
    <t>38.939,-76.048</t>
  </si>
  <si>
    <t>Lost Hills Coronal</t>
  </si>
  <si>
    <t>35.728,-119.905</t>
  </si>
  <si>
    <t>Hyline</t>
  </si>
  <si>
    <t>44.151,-117.003</t>
  </si>
  <si>
    <t>Tranquillity</t>
  </si>
  <si>
    <t>36.583,-120.393</t>
  </si>
  <si>
    <t>Lewiston</t>
  </si>
  <si>
    <t>36.141,-77.211</t>
  </si>
  <si>
    <t>Zhangjiakou CFC</t>
  </si>
  <si>
    <t>41.397,114.638</t>
  </si>
  <si>
    <t>Morelos Del Sol</t>
  </si>
  <si>
    <t>35.728,-119.897</t>
  </si>
  <si>
    <t>Williamsdale</t>
  </si>
  <si>
    <t>-35.571,149.128</t>
  </si>
  <si>
    <t>Springbok 1</t>
  </si>
  <si>
    <t>35.249,-117.956</t>
  </si>
  <si>
    <t>Black Cap II</t>
  </si>
  <si>
    <t>42.174,-120.361</t>
  </si>
  <si>
    <t>Alamo V</t>
  </si>
  <si>
    <t>29.218,-99.705</t>
  </si>
  <si>
    <t>Newman TX</t>
  </si>
  <si>
    <t>31.978,-106.43</t>
  </si>
  <si>
    <t>Leggett</t>
  </si>
  <si>
    <t>36.057,-77.622</t>
  </si>
  <si>
    <t>Nicolis</t>
  </si>
  <si>
    <t>35.822,-119.041</t>
  </si>
  <si>
    <t>Orchard Ranch</t>
  </si>
  <si>
    <t>43.467,-116.291</t>
  </si>
  <si>
    <t>Mustang CA</t>
  </si>
  <si>
    <t>36.245,-119.919</t>
  </si>
  <si>
    <t>Bethel Price</t>
  </si>
  <si>
    <t>35.797,-77.378</t>
  </si>
  <si>
    <t>Springbok 2</t>
  </si>
  <si>
    <t>35.25,-117.977</t>
  </si>
  <si>
    <t>Boise South</t>
  </si>
  <si>
    <t>43.441,-116.328</t>
  </si>
  <si>
    <t>Caprock</t>
  </si>
  <si>
    <t>34.984,-103.623</t>
  </si>
  <si>
    <t>Hemlock</t>
  </si>
  <si>
    <t>36.468,-77.594</t>
  </si>
  <si>
    <t>Desert Green</t>
  </si>
  <si>
    <t>33.266,-116.328</t>
  </si>
  <si>
    <t>Cottonwood Kern</t>
  </si>
  <si>
    <t>35.589,-119.578</t>
  </si>
  <si>
    <t>Kakarani</t>
  </si>
  <si>
    <t>17.281,79.19</t>
  </si>
  <si>
    <t>Harwich Landfill</t>
  </si>
  <si>
    <t>41.696,-70.097</t>
  </si>
  <si>
    <t>Barren Ridge</t>
  </si>
  <si>
    <t>35.206,-118.069</t>
  </si>
  <si>
    <t>Palmdale East</t>
  </si>
  <si>
    <t>34.613,-117.938</t>
  </si>
  <si>
    <t>Villanueva III</t>
  </si>
  <si>
    <t>25.577,-103.034</t>
  </si>
  <si>
    <t>Broken Hill</t>
  </si>
  <si>
    <t>-31.985,141.392</t>
  </si>
  <si>
    <t>Dogwood</t>
  </si>
  <si>
    <t>36.121,-77.404</t>
  </si>
  <si>
    <t>Villanueva I</t>
  </si>
  <si>
    <t>25.586,-103.056</t>
  </si>
  <si>
    <t>Aria Light</t>
  </si>
  <si>
    <t>44.623,-79.844</t>
  </si>
  <si>
    <t>Elizabeth CP</t>
  </si>
  <si>
    <t>36.272,-76.312</t>
  </si>
  <si>
    <t>Millbury</t>
  </si>
  <si>
    <t>42.1645,-71.7951</t>
  </si>
  <si>
    <t>Cottonwood Kings</t>
  </si>
  <si>
    <t>36.136,-119.558</t>
  </si>
  <si>
    <t>Astoria</t>
  </si>
  <si>
    <t>34.827,-118.472</t>
  </si>
  <si>
    <t>North Star CA</t>
  </si>
  <si>
    <t>36.724,-120.414</t>
  </si>
  <si>
    <t>Kushiro Oto-betsu</t>
  </si>
  <si>
    <t>42.911,143.964</t>
  </si>
  <si>
    <t>River Road</t>
  </si>
  <si>
    <t>36.363,-76.861</t>
  </si>
  <si>
    <t>South Valley</t>
  </si>
  <si>
    <t>34.987,-106.731</t>
  </si>
  <si>
    <t>Aerojet AR</t>
  </si>
  <si>
    <t>33.637,-92.706</t>
  </si>
  <si>
    <t>Guayubín</t>
  </si>
  <si>
    <t>19.706,-71.377</t>
  </si>
  <si>
    <t>Battleboro Farm</t>
  </si>
  <si>
    <t>36.057,-77.755</t>
  </si>
  <si>
    <t>Golden Fields I</t>
  </si>
  <si>
    <t>34.839,-118.388</t>
  </si>
  <si>
    <t>Chocowinity TWE</t>
  </si>
  <si>
    <t>35.5,-77.108</t>
  </si>
  <si>
    <t>Wildcat</t>
  </si>
  <si>
    <t>35.853,-77.113</t>
  </si>
  <si>
    <t>Wp/m2</t>
  </si>
  <si>
    <t>Solar to Electricity Efficiency</t>
  </si>
  <si>
    <t>70th</t>
  </si>
  <si>
    <t/>
  </si>
  <si>
    <t>Jinta</t>
  </si>
  <si>
    <t>39.959,98.959</t>
  </si>
  <si>
    <t>Qingtongxia CGN II</t>
  </si>
  <si>
    <t>37.659,106.08</t>
  </si>
  <si>
    <t>Alamo IV</t>
  </si>
  <si>
    <t>29.318,-100.388</t>
  </si>
  <si>
    <t>Old Midville</t>
  </si>
  <si>
    <t>32.824,-81.988</t>
  </si>
  <si>
    <t>Fuping</t>
  </si>
  <si>
    <t>38.831,114.467</t>
  </si>
  <si>
    <t>Medicine Hat ISCC</t>
  </si>
  <si>
    <t>50.0379,-110.7195</t>
  </si>
  <si>
    <t>Dadri ISCC</t>
  </si>
  <si>
    <t>28.5915,77.6099</t>
  </si>
  <si>
    <t>Godawari CSP</t>
  </si>
  <si>
    <t>27.602,72.224</t>
  </si>
  <si>
    <t>ASE Demo</t>
  </si>
  <si>
    <t>42.7297,12.5292</t>
  </si>
  <si>
    <t>Rende CSP</t>
  </si>
  <si>
    <t>39.3736,16.2463</t>
  </si>
  <si>
    <t>-28.881,19.583</t>
  </si>
  <si>
    <t>-28.895,19.592</t>
  </si>
  <si>
    <t>41.529,0.805</t>
  </si>
  <si>
    <t>38.728,-0.924</t>
  </si>
  <si>
    <t>39.237,-3.485</t>
  </si>
  <si>
    <t>Solaben</t>
  </si>
  <si>
    <t>39.22,-5.39</t>
  </si>
  <si>
    <t>Termosol 1</t>
  </si>
  <si>
    <t>39.191,-5.581</t>
  </si>
  <si>
    <t>Termosol 2</t>
  </si>
  <si>
    <t>39.177,-5.601</t>
  </si>
  <si>
    <t>Shams 1</t>
  </si>
  <si>
    <t>United Arab Emirates</t>
  </si>
  <si>
    <t>23.5703,53.7156</t>
  </si>
  <si>
    <t>33.664,-114.995</t>
  </si>
  <si>
    <t>35.033,-117.349</t>
  </si>
  <si>
    <t>32.922,-112.979</t>
  </si>
  <si>
    <t>Electricity output GWh/y</t>
  </si>
  <si>
    <t>Electricity output kWh/m2/y</t>
  </si>
  <si>
    <t>2006 Process design and energy requirements for the capture of carbon dioxide from air (Baciocchi et al., 2006)</t>
  </si>
  <si>
    <t>2007 Energy and material balance of CO2 capture from ambient air (Zeman, 20007)</t>
  </si>
  <si>
    <t>2008 Carbon dioxide capture from atmospheric air using sodium hydroxide spray (Stolaroff, 2008)</t>
  </si>
  <si>
    <t>2013 Direct air capture of CO2 with chemicals (Mazzotti et al., 2013)</t>
  </si>
  <si>
    <t>2016 Selecting CO2 sources for CO2 utilization by environmental-merit-order curves (von der Assen,. 2016)</t>
  </si>
  <si>
    <t>2018 A process for capturing CO2 from the atmosphere (Keith et al., 2018)</t>
  </si>
  <si>
    <t>Carbon Eng (fully electric)</t>
  </si>
  <si>
    <t>BIOMASS*</t>
  </si>
  <si>
    <r>
      <t>CH</t>
    </r>
    <r>
      <rPr>
        <vertAlign val="subscript"/>
        <sz val="11"/>
        <color rgb="FF000000"/>
        <rFont val="Arial"/>
        <family val="2"/>
      </rPr>
      <t>1.77</t>
    </r>
    <r>
      <rPr>
        <sz val="11"/>
        <color rgb="FF000000"/>
        <rFont val="Arial"/>
        <family val="2"/>
      </rPr>
      <t>O</t>
    </r>
    <r>
      <rPr>
        <vertAlign val="subscript"/>
        <sz val="11"/>
        <color rgb="FF000000"/>
        <rFont val="Arial"/>
        <family val="2"/>
      </rPr>
      <t>0.49</t>
    </r>
    <r>
      <rPr>
        <sz val="11"/>
        <color rgb="FF000000"/>
        <rFont val="Arial"/>
        <family val="2"/>
      </rPr>
      <t>N</t>
    </r>
    <r>
      <rPr>
        <vertAlign val="subscript"/>
        <sz val="11"/>
        <color rgb="FF000000"/>
        <rFont val="Arial"/>
        <family val="2"/>
      </rPr>
      <t>0.24</t>
    </r>
    <r>
      <rPr>
        <sz val="11"/>
        <color rgb="FF000000"/>
        <rFont val="Arial"/>
        <family val="2"/>
      </rPr>
      <t xml:space="preserve"> </t>
    </r>
  </si>
  <si>
    <t xml:space="preserve">30th </t>
  </si>
  <si>
    <t>Westmaas</t>
  </si>
  <si>
    <t>Valthermond</t>
  </si>
  <si>
    <t>Farm Site</t>
  </si>
  <si>
    <t>I</t>
  </si>
  <si>
    <t>II</t>
  </si>
  <si>
    <t>III</t>
  </si>
  <si>
    <t>IV</t>
  </si>
  <si>
    <t>V</t>
  </si>
  <si>
    <t>VI</t>
  </si>
  <si>
    <t>VII</t>
  </si>
  <si>
    <t>VIII</t>
  </si>
  <si>
    <t>IX</t>
  </si>
  <si>
    <t>X</t>
  </si>
  <si>
    <t>XI</t>
  </si>
  <si>
    <t>XII</t>
  </si>
  <si>
    <t>XIII</t>
  </si>
  <si>
    <t>MEDIAN</t>
  </si>
  <si>
    <t>Input energy to cultivation GJ/ha</t>
  </si>
  <si>
    <t>Sucrose yield tons/ha</t>
  </si>
  <si>
    <t>Source</t>
  </si>
  <si>
    <t>An assessment of the energy inputs and greenhouse gas emissions in sugar beet (Beta vulgaris) production in the UK (Tzilivakis et al., 2004)</t>
  </si>
  <si>
    <t>Ethanol from sugar beet in The Netherlands: energy production and efficiency (Langeveld et al., 2008)</t>
  </si>
  <si>
    <t>KaXu Solar One</t>
  </si>
  <si>
    <t>Xina Solar One</t>
  </si>
  <si>
    <t>Borges Thermosolar</t>
  </si>
  <si>
    <t>Enerstar</t>
  </si>
  <si>
    <t>Helios</t>
  </si>
  <si>
    <t xml:space="preserve">Mojave </t>
  </si>
  <si>
    <t>Solana</t>
  </si>
  <si>
    <t>Genesis Solar Energy Project</t>
  </si>
  <si>
    <t>37.16194444,-5.548333</t>
  </si>
  <si>
    <t>38.2388, -117.363743</t>
  </si>
  <si>
    <t>26.789894, 72.012367</t>
  </si>
  <si>
    <t>Median</t>
  </si>
  <si>
    <r>
      <t xml:space="preserve">*Torella, J. P., Gagliardi, C. J., Chen, J. S., Bediako, D. K., Colon, B., Way, J. C., Silver, P. A. &amp; Nocera, D. G. (2015) Efficient solar-to-fuels production from a hybrid microbial-water-splitting catalyst system, </t>
    </r>
    <r>
      <rPr>
        <i/>
        <sz val="11"/>
        <color theme="1"/>
        <rFont val="Arial"/>
        <family val="2"/>
      </rPr>
      <t xml:space="preserve">Proceedings of the National Academy of Sciences. </t>
    </r>
    <r>
      <rPr>
        <b/>
        <sz val="11"/>
        <color theme="1"/>
        <rFont val="Arial"/>
        <family val="2"/>
      </rPr>
      <t>112</t>
    </r>
    <r>
      <rPr>
        <sz val="11"/>
        <color theme="1"/>
        <rFont val="Arial"/>
        <family val="2"/>
      </rPr>
      <t>, 2337.</t>
    </r>
  </si>
  <si>
    <t>30th percentile</t>
  </si>
  <si>
    <t>70th percentile</t>
  </si>
  <si>
    <t>Total mass</t>
  </si>
  <si>
    <t>Avg Annual Temperature (°C)</t>
  </si>
  <si>
    <t>Stochiometry</t>
  </si>
  <si>
    <t>Fraction of Weight</t>
  </si>
  <si>
    <t>Molecular weight g/mol</t>
  </si>
  <si>
    <t>Weight in 1 mol units of biomass (grams)</t>
  </si>
  <si>
    <t>Sourced from Solargis Prospect tool at https://apps.solargis.com/prospect</t>
  </si>
  <si>
    <t>Supplemental Table</t>
  </si>
  <si>
    <t>PV Solar Farms</t>
  </si>
  <si>
    <t>Description</t>
  </si>
  <si>
    <t>Provided by Wiki-Solar: http://wiki-solar.org/</t>
  </si>
  <si>
    <t>Project name, country, coordinates, site area, design output, commercial operation date, MWp:</t>
  </si>
  <si>
    <t>For large US projects (&gt; 300 MWp) these data were sourced from the Energy Information Administration via https://www.eia.gov/electricity/data/browser/</t>
  </si>
  <si>
    <t>Irradiance and Temperature data:</t>
  </si>
  <si>
    <t>Data Sources:</t>
  </si>
  <si>
    <t>Project name, country, coordinates, site area, design output, commercial operation date, technology, MWp:</t>
  </si>
  <si>
    <t>Concentrated Solar Power</t>
  </si>
  <si>
    <t xml:space="preserve">Direct Air Capture CO2 </t>
  </si>
  <si>
    <t xml:space="preserve">Sugar Beet Cultivation </t>
  </si>
  <si>
    <t xml:space="preserve">Utility-scale photovoltaic solar farms and their solar to electricty energy efficiency </t>
  </si>
  <si>
    <t xml:space="preserve">Note: solar to electricty efficiency is calculated by dividing annual electricty production per m2 by global horizontal irradiance per m2 </t>
  </si>
  <si>
    <t xml:space="preserve">Utility-scale Concentrated Solar Power plants and their solar to electricty energy efficiency </t>
  </si>
  <si>
    <t xml:space="preserve">FAO Crop Yields </t>
  </si>
  <si>
    <t xml:space="preserve">Sugar Beet yield fw tons/ha </t>
  </si>
  <si>
    <t>Output Sucrose energy yield GJ/ha</t>
  </si>
  <si>
    <t>Output energy in sucrose GJ /Input energy for cultivation GJ</t>
  </si>
  <si>
    <t>Input energy for cultivation GJ /Output energy in sucrose GJ/</t>
  </si>
  <si>
    <t xml:space="preserve">Table Name </t>
  </si>
  <si>
    <t xml:space="preserve">Energetic inputs for sugarbeet cultivation and output sucrose energy yields </t>
  </si>
  <si>
    <t>Area</t>
  </si>
  <si>
    <t>Item</t>
  </si>
  <si>
    <t>kcal/m2/y</t>
  </si>
  <si>
    <t>Afghanistan</t>
  </si>
  <si>
    <t>Rice, paddy</t>
  </si>
  <si>
    <t>Sugar beet</t>
  </si>
  <si>
    <t>Sugar cane</t>
  </si>
  <si>
    <t>Albania</t>
  </si>
  <si>
    <t>Oil palm fruit</t>
  </si>
  <si>
    <t>Algeria</t>
  </si>
  <si>
    <t>FAO- Food Composition Table</t>
  </si>
  <si>
    <t>g Protein / g Crop</t>
  </si>
  <si>
    <t>kcal / 100 g</t>
  </si>
  <si>
    <t>Angola</t>
  </si>
  <si>
    <t>Antigua and Barbuda</t>
  </si>
  <si>
    <t>Argentina</t>
  </si>
  <si>
    <t>Armenia</t>
  </si>
  <si>
    <t>Austria</t>
  </si>
  <si>
    <t>Azerbaijan</t>
  </si>
  <si>
    <t>Bahamas</t>
  </si>
  <si>
    <t>Bahrain</t>
  </si>
  <si>
    <t>Bangladesh</t>
  </si>
  <si>
    <t>Barbados</t>
  </si>
  <si>
    <t>Belarus</t>
  </si>
  <si>
    <t>Belgium</t>
  </si>
  <si>
    <t>Belize</t>
  </si>
  <si>
    <t>Benin</t>
  </si>
  <si>
    <t>Bhutan</t>
  </si>
  <si>
    <t>Bolivia (Plurinational State of)</t>
  </si>
  <si>
    <t>Bosnia and Herzegovina</t>
  </si>
  <si>
    <t>Botswana</t>
  </si>
  <si>
    <t>Brunei Darussalam</t>
  </si>
  <si>
    <t>Bulgaria</t>
  </si>
  <si>
    <t>Burkina Faso</t>
  </si>
  <si>
    <t>Burundi</t>
  </si>
  <si>
    <t>Cabo Verde</t>
  </si>
  <si>
    <t>Cameroon</t>
  </si>
  <si>
    <t>Central African Republic</t>
  </si>
  <si>
    <t>Chad</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</si>
  <si>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</si>
  <si>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</si>
  <si>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</si>
  <si>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</si>
  <si>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</si>
  <si>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</si>
  <si>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</si>
  <si>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</si>
  <si>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</si>
  <si>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</si>
  <si>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</si>
  <si>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</si>
  <si>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</si>
  <si>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</si>
  <si>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Ecuador</t>
  </si>
  <si>
    <t>Egypt</t>
  </si>
  <si>
    <t>Equatorial Guinea</t>
  </si>
  <si>
    <t>Eritrea</t>
  </si>
  <si>
    <t>Estonia</t>
  </si>
  <si>
    <t>Eswatini</t>
  </si>
  <si>
    <t>Ethiopia</t>
  </si>
  <si>
    <t>Faroe Islands</t>
  </si>
  <si>
    <t>Fiji</t>
  </si>
  <si>
    <t>Finland</t>
  </si>
  <si>
    <t>French Polynesia</t>
  </si>
  <si>
    <t>Gabon</t>
  </si>
  <si>
    <t>Gambia</t>
  </si>
  <si>
    <t>Georgia</t>
  </si>
  <si>
    <t>Ghana</t>
  </si>
  <si>
    <t>Greece</t>
  </si>
  <si>
    <t>Grenada</t>
  </si>
  <si>
    <t>Guatemala</t>
  </si>
  <si>
    <t>Guinea</t>
  </si>
  <si>
    <t>Guinea-Bissau</t>
  </si>
  <si>
    <t>Guyana</t>
  </si>
  <si>
    <t>Haiti</t>
  </si>
  <si>
    <t>Honduras</t>
  </si>
  <si>
    <t>Iceland</t>
  </si>
  <si>
    <t>Indonesia</t>
  </si>
  <si>
    <t>Iran (Islamic Republic of)</t>
  </si>
  <si>
    <t>Iraq</t>
  </si>
  <si>
    <t>Ireland</t>
  </si>
  <si>
    <t>Jamaica</t>
  </si>
  <si>
    <t>Kenya</t>
  </si>
  <si>
    <t>Kuwait</t>
  </si>
  <si>
    <t>Kyrgyzstan</t>
  </si>
  <si>
    <t>Lao People's Democratic Republic</t>
  </si>
  <si>
    <t>Latvia</t>
  </si>
  <si>
    <t>Lebanon</t>
  </si>
  <si>
    <t>Lesotho</t>
  </si>
  <si>
    <t>Liberia</t>
  </si>
  <si>
    <t>Libya</t>
  </si>
  <si>
    <t>Lithuania</t>
  </si>
  <si>
    <t>Luxembourg</t>
  </si>
  <si>
    <t>Madagascar</t>
  </si>
  <si>
    <t>Malawi</t>
  </si>
  <si>
    <t>Maldives</t>
  </si>
  <si>
    <t>Mali</t>
  </si>
  <si>
    <t>Malta</t>
  </si>
  <si>
    <t>Mauritania</t>
  </si>
  <si>
    <t>Mauritius</t>
  </si>
  <si>
    <t>Micronesia (Federated States of)</t>
  </si>
  <si>
    <t>Mongolia</t>
  </si>
  <si>
    <t>Montenegro</t>
  </si>
  <si>
    <t>Mozambique</t>
  </si>
  <si>
    <t>Myanmar</t>
  </si>
  <si>
    <t>Namibia</t>
  </si>
  <si>
    <t>Nepal</t>
  </si>
  <si>
    <t>Netherlands</t>
  </si>
  <si>
    <t>New Caledonia</t>
  </si>
  <si>
    <t>New Zealand</t>
  </si>
  <si>
    <t>Nicaragua</t>
  </si>
  <si>
    <t>Niger</t>
  </si>
  <si>
    <t>Nigeria</t>
  </si>
  <si>
    <t>Niue</t>
  </si>
  <si>
    <t>North Macedonia</t>
  </si>
  <si>
    <t>Norway</t>
  </si>
  <si>
    <t>Oman</t>
  </si>
  <si>
    <t>Palestine</t>
  </si>
  <si>
    <t>Panama</t>
  </si>
  <si>
    <t>Papua New Guinea</t>
  </si>
  <si>
    <t>Paraguay</t>
  </si>
  <si>
    <t>Peru</t>
  </si>
  <si>
    <t>Poland</t>
  </si>
  <si>
    <t>Portugal</t>
  </si>
  <si>
    <t>Qatar</t>
  </si>
  <si>
    <t>Republic of Korea</t>
  </si>
  <si>
    <t>Republic of Moldova</t>
  </si>
  <si>
    <t>Romania</t>
  </si>
  <si>
    <t>Russian Federation</t>
  </si>
  <si>
    <t>Rwanda</t>
  </si>
  <si>
    <t>Saint Lucia</t>
  </si>
  <si>
    <t>Saint Vincent and the Grenadines</t>
  </si>
  <si>
    <t>Samoa</t>
  </si>
  <si>
    <t>Sao Tome and Principe</t>
  </si>
  <si>
    <t>Saudi Arabia</t>
  </si>
  <si>
    <t>Senegal</t>
  </si>
  <si>
    <t>Serbia</t>
  </si>
  <si>
    <t>Seychelles</t>
  </si>
  <si>
    <t>Sierra Leone</t>
  </si>
  <si>
    <t>Slovakia</t>
  </si>
  <si>
    <t>Slovenia</t>
  </si>
  <si>
    <t>Solomon Islands</t>
  </si>
  <si>
    <t>Somalia</t>
  </si>
  <si>
    <t>South Sudan</t>
  </si>
  <si>
    <t>Sri Lanka</t>
  </si>
  <si>
    <t>Sudan</t>
  </si>
  <si>
    <t>Suriname</t>
  </si>
  <si>
    <t>Sweden</t>
  </si>
  <si>
    <t>Switzerland</t>
  </si>
  <si>
    <t>Syrian Arab Republic</t>
  </si>
  <si>
    <t>Tajikistan</t>
  </si>
  <si>
    <t>Timor-Leste</t>
  </si>
  <si>
    <t>Togo</t>
  </si>
  <si>
    <t>Tonga</t>
  </si>
  <si>
    <t>Trinidad and Tobago</t>
  </si>
  <si>
    <t>Tunisia</t>
  </si>
  <si>
    <t>Turkmenistan</t>
  </si>
  <si>
    <t>Uganda</t>
  </si>
  <si>
    <t>Ukraine</t>
  </si>
  <si>
    <t>United Kingdom of Great Britain and Northern Ireland</t>
  </si>
  <si>
    <t>United Republic of Tanzania</t>
  </si>
  <si>
    <t>United States of America</t>
  </si>
  <si>
    <t>Uzbekistan</t>
  </si>
  <si>
    <t>Vanuatu</t>
  </si>
  <si>
    <t>Venezuela (Bolivarian Republic of)</t>
  </si>
  <si>
    <t>Viet Nam</t>
  </si>
  <si>
    <t>Yemen</t>
  </si>
  <si>
    <t>Zambia</t>
  </si>
  <si>
    <t>Zimbabwe</t>
  </si>
  <si>
    <t>Notes</t>
  </si>
  <si>
    <t>Notes:</t>
  </si>
  <si>
    <t>Crop</t>
  </si>
  <si>
    <t>Energy cost for provision of nutrients, bioreactor operation, and biomass processing</t>
  </si>
  <si>
    <t>Category</t>
  </si>
  <si>
    <t>Units</t>
  </si>
  <si>
    <t>References</t>
  </si>
  <si>
    <t>Input</t>
  </si>
  <si>
    <t>Output</t>
  </si>
  <si>
    <t>MJ</t>
  </si>
  <si>
    <t>Nutrients</t>
  </si>
  <si>
    <t>LCA energy NH3 kg</t>
  </si>
  <si>
    <t>MJ/ kg NH3</t>
  </si>
  <si>
    <t>Phosphoric acid production I</t>
  </si>
  <si>
    <t>PR-ore in ground</t>
  </si>
  <si>
    <t>PR-ore</t>
  </si>
  <si>
    <t>33 MJ / ton 18.2% P2O5</t>
  </si>
  <si>
    <t>LCA energy N-NH3 kg</t>
  </si>
  <si>
    <t>MJ/ kg N-NH3</t>
  </si>
  <si>
    <t>PR-M</t>
  </si>
  <si>
    <t>307 MJ /ton 18.2% P2O5</t>
  </si>
  <si>
    <t>kg N/ kg dw biomass</t>
  </si>
  <si>
    <t>298 MJ / ton 18.2% P2O5</t>
  </si>
  <si>
    <t>Energy requirements for N-NH3 in biomass</t>
  </si>
  <si>
    <t>MJ / kg dw biomass</t>
  </si>
  <si>
    <t>P4</t>
  </si>
  <si>
    <t>6500 kWh/ ton 100% P2O5</t>
  </si>
  <si>
    <t>P2O5</t>
  </si>
  <si>
    <t>n/a (spontaneous)</t>
  </si>
  <si>
    <t>LCA energy H3PO4</t>
  </si>
  <si>
    <t>MJ/kg H3PO4</t>
  </si>
  <si>
    <t>H3PO4</t>
  </si>
  <si>
    <t>kg H3PO4 /kg protein</t>
  </si>
  <si>
    <t>Phosphoric acid production II</t>
  </si>
  <si>
    <t>Energy requirements for H3PO4 in biomass</t>
  </si>
  <si>
    <t>MJ/ kg dw biomass</t>
  </si>
  <si>
    <t>LCA energy H2SO4</t>
  </si>
  <si>
    <t>MJ/kg H2SO4</t>
  </si>
  <si>
    <t>Mass requirements SO4 for kg protein</t>
  </si>
  <si>
    <t>Mineral salts</t>
  </si>
  <si>
    <t>Molecular weight</t>
  </si>
  <si>
    <t>% Sulfate (w/w)</t>
  </si>
  <si>
    <t>Average % of sulfate</t>
  </si>
  <si>
    <t>Total nutrients input</t>
  </si>
  <si>
    <t>kg/kg of biomass dw</t>
  </si>
  <si>
    <t>Energy requirements for H2SO4 in biomass</t>
  </si>
  <si>
    <t>FeSO4*7H2O</t>
  </si>
  <si>
    <t>Sulfuric acid I</t>
  </si>
  <si>
    <t>MgSO4*7H2O</t>
  </si>
  <si>
    <t>MnSO4*7H2O</t>
  </si>
  <si>
    <t>Total</t>
  </si>
  <si>
    <t>ZnSO4*H2O</t>
  </si>
  <si>
    <t>Sulfuric acid II</t>
  </si>
  <si>
    <t>Bioreactor stiring</t>
  </si>
  <si>
    <t>kW/m3</t>
  </si>
  <si>
    <t>kWh/kg dw biomass</t>
  </si>
  <si>
    <t>Bioreactor cooling I</t>
  </si>
  <si>
    <t>MW</t>
  </si>
  <si>
    <t>MJ/s</t>
  </si>
  <si>
    <t>kg dw /s</t>
  </si>
  <si>
    <t>Bioreactor cooling II</t>
  </si>
  <si>
    <t>kcal/h</t>
  </si>
  <si>
    <t>MJ/h</t>
  </si>
  <si>
    <t>Annual productivity of the SCP plant</t>
  </si>
  <si>
    <t>ton dw/y</t>
  </si>
  <si>
    <t>ton dw/h</t>
  </si>
  <si>
    <t>Productivity on hourly basis, assumed with 8760 h/y, i.e. no interruption for fermenter maintainance (conservative assumption)</t>
  </si>
  <si>
    <t>MJ/kg dw biomass</t>
  </si>
  <si>
    <t>Centrifugation</t>
  </si>
  <si>
    <t>Spray-drying</t>
  </si>
  <si>
    <t>MJ/ton dw biomass</t>
  </si>
  <si>
    <t>Bead milling disruption</t>
  </si>
  <si>
    <t>Microfiltration</t>
  </si>
  <si>
    <t>Disrupted biomass (db) density</t>
  </si>
  <si>
    <t>kWh/ m3 permeate</t>
  </si>
  <si>
    <t xml:space="preserve">  Ammonium</t>
  </si>
  <si>
    <t xml:space="preserve">Water cooling </t>
  </si>
  <si>
    <t>Value low</t>
  </si>
  <si>
    <t>Value high</t>
  </si>
  <si>
    <t>Mass N per kg biomass</t>
  </si>
  <si>
    <t>Sulfate</t>
  </si>
  <si>
    <t>Energy cost for N-NH3 in biomass</t>
  </si>
  <si>
    <t>Energy input (as originally reported)</t>
  </si>
  <si>
    <t>MJ/ton 100% P2O5</t>
  </si>
  <si>
    <t>MJ/ton H3PO4</t>
  </si>
  <si>
    <t>Bioreactor</t>
  </si>
  <si>
    <t>Overall energy cost</t>
  </si>
  <si>
    <t>Phosphate energy cost in biomass</t>
  </si>
  <si>
    <t>Mass H3PO4 per kg protein</t>
  </si>
  <si>
    <t>normalized to energy in biomass</t>
  </si>
  <si>
    <t>Protein content of biomass</t>
  </si>
  <si>
    <t>kg protein / kg biomass dw</t>
  </si>
  <si>
    <t>Mass H3PO4 per kg biomass</t>
  </si>
  <si>
    <t>kg H3PO4 /kg biomass dw</t>
  </si>
  <si>
    <t>Energy cost for H3PO4 in biomass</t>
  </si>
  <si>
    <t>Potential sulfate input</t>
  </si>
  <si>
    <t>kg H2SO4 /kg of biomass dw</t>
  </si>
  <si>
    <t>Sulfuric acid production (H2SO4) I</t>
  </si>
  <si>
    <t>Sulfuric acid production (H2SO4) II</t>
  </si>
  <si>
    <t>Sulfate energy cost in biomass</t>
  </si>
  <si>
    <t>Comparable with bioreactor cooling I</t>
  </si>
  <si>
    <t>Overall process</t>
  </si>
  <si>
    <t>Energy consumed to flow permeate</t>
  </si>
  <si>
    <t xml:space="preserve">  Phosphate</t>
  </si>
  <si>
    <t xml:space="preserve">Bioreactor </t>
  </si>
  <si>
    <t xml:space="preserve">  Bioreactor cooling  </t>
  </si>
  <si>
    <t xml:space="preserve">Value </t>
  </si>
  <si>
    <t xml:space="preserve">Phosphoric acid production I </t>
  </si>
  <si>
    <t xml:space="preserve">Actual energy needed to guarantee the required cooling potential </t>
  </si>
  <si>
    <t>MJ/ kg biomass</t>
  </si>
  <si>
    <t>MJ / kg H3PO4</t>
  </si>
  <si>
    <t>Obtained through standardized LCA analysis based on the Ecoinvent database. Europe was taken as reference for the balance of energy sources avaialble.</t>
  </si>
  <si>
    <t>Based on Table VII (phosphoric acid requirements for SCP from methanol)</t>
  </si>
  <si>
    <t>Biomass concentration in the reactor</t>
  </si>
  <si>
    <t xml:space="preserve">Energy needed for centrifugation </t>
  </si>
  <si>
    <t>kWh /m3</t>
  </si>
  <si>
    <t>% dw biomass</t>
  </si>
  <si>
    <t>MJ/ m3 permeate</t>
  </si>
  <si>
    <t xml:space="preserve">Conservatively assuming that the whole volume of disrupted biomass has to be filtrated </t>
  </si>
  <si>
    <t>Bead milling</t>
  </si>
  <si>
    <t>Total energy cost for biomass</t>
  </si>
  <si>
    <t>MJ /kg H2SO4</t>
  </si>
  <si>
    <t>kg H2SO4 / kg biomass dw</t>
  </si>
  <si>
    <t>kg dw biomass / m3 / hr</t>
  </si>
  <si>
    <t>L. Wang, et al., Greening Ammonia toward the Solar Ammonia Refinery. Joule 2, 1055-1074 (2018).</t>
  </si>
  <si>
    <t>I. Pikaar, et al., Decoupling Livestock from Land Use through Industrial Feed Production Pathways. Environ. Sci. Technol. 52, 7351-7359 (2018).</t>
  </si>
  <si>
    <t>H. C. De Boer, M. M. Van Krimpen, H. Blonk, M. Tyszler, “Replacement of soybean meal in compound feed by European protein sources: effects on carbon footprint” (Wageningen UR Livestock Research, 2014).</t>
  </si>
  <si>
    <t>J. H. Litchfield, “Comparative technical and economic aspects of single-cell protein processes” in Advances in Applied Microbiology, (Elsevier, 1977), pp. 267–305.</t>
  </si>
  <si>
    <t>M. Kainuma, Y. Matsuoka, T. Morita, Climate policy assessment: Asia-Pacific integrated modeling (Springer Science &amp; Business Media, 2011).</t>
  </si>
  <si>
    <t>1) International Organization for Standardization. ISO 14044:2006 Environmental Management — Life cycle assessment — Requirements and guidelines. Geneva: ISO; (2006).
2) International Organization for Standardization. ISO 14040:2006 Environmental Management — Life cycle assessment — Principles and framework. Geneva: ISO; 2006.
VDI. VDI guideline 4600: cumulative energy demand (KEA) – terms, definitions, methods of calculation (2012).
3) Weidema, B.P., Bauer, C., Hischier, R., Mutel, C., Nemecek, T., Reinhard, J., Vadenbo, C.O., Wernet, G. Overview and Methodology – Data Quality Guideline for the ecoinvent Database Version 3. The ecoinvent Centre, St. Gallen (2013).</t>
  </si>
  <si>
    <t>J. Lisičar, T. Scheper, S. Barbe, Turning industrial baker’s yeast manufacture into a powerful zero discharge multipurpose bioprocess. Ind. Biotechnol. 13, 184–191 (2017).</t>
  </si>
  <si>
    <t>P. F. Stanbury, A. Whitaker, S. J. Hall, Principles of fermentation technology (Elsevier, 2013).</t>
  </si>
  <si>
    <t>M. O. Albaek, K. V Gernaey, M. S. Hansen, S. M. Stocks, Evaluation of the energy efficiency of enzyme fermentation by mechanistic modeling. Biotechnol. Bioeng. 109, 950-961 (2012).</t>
  </si>
  <si>
    <t>J. Sillman, et al., Bacterial protein for food and feed generated via renewable energy and direct air capture of CO2: Can it reduce land and water use? Glob. Food Sec. 22, 25–32 (2019).</t>
  </si>
  <si>
    <t>I. Pikaar, et al., Decoupling Livestock from Land Use through Industrial Feed Production Pathways. Environ. Sci. Technol. 52, 7351–7359 (2018).</t>
  </si>
  <si>
    <t>1) G. A. Silva, L. A. Kulay, Application of life cycle assessment to the LCA case studies single superphosphate production. Int. J. Life Cycle Assess. 8, 209-214 (2003).
2) M. Walters, A technical review of the improved Hard process in 1st International Symposium on Innovation and Technology in the Phosphate Industry, Marrakech, Morocco, May, (2011), pp. 9–13.</t>
  </si>
  <si>
    <t>Sulfate salts used in mineral medium for industrial SCP fermentation.</t>
  </si>
  <si>
    <t>Amount ofsulfate salts used per unit SCP biomass dw</t>
  </si>
  <si>
    <t>Energy cost for cooling Jastbolaget bioreactor coupled to heat pumps to recover process and district heating</t>
  </si>
  <si>
    <t>Yield of yeast in Jastbolaget bioreactor</t>
  </si>
  <si>
    <t>Estimated cooling requirement for the British Petroleum purified n-alkanes or gas oil processes for a 100,000-metric ton per year plant</t>
  </si>
  <si>
    <t>Coefficient of performance (COP) for power consumption of cooling systems for fermentation vessels</t>
  </si>
  <si>
    <t>For one m3 of reactor solution</t>
  </si>
  <si>
    <t>kg db biomass / m3 disrupted biomass</t>
  </si>
  <si>
    <t xml:space="preserve">Assumed concentration of solids after centrifuging. </t>
  </si>
  <si>
    <t>Energy consumption per bioreactor volume for stirring</t>
  </si>
  <si>
    <t>Bioreactor productivity</t>
  </si>
  <si>
    <t>Energy consumed for per biomass (kWh)</t>
  </si>
  <si>
    <t>2019 Techno-economic assessment of CO2 direct air capture plants (Fasihi, 2019)</t>
  </si>
  <si>
    <t>Wide range (0.2 to 17 kW/m3) I take 1.5kW like Pikaar did (which may be conservative since Niazi recomends 0.8 kW as "good average"</t>
  </si>
  <si>
    <t>Eb normalized</t>
  </si>
  <si>
    <t>Em normalized</t>
  </si>
  <si>
    <t>Etot normalized</t>
  </si>
  <si>
    <t>Ep normalized</t>
  </si>
  <si>
    <t>nomalized to energy in 1 kg biomass</t>
  </si>
  <si>
    <t>Capital investment</t>
  </si>
  <si>
    <t>Equipment lifetime</t>
  </si>
  <si>
    <t>Repayment period</t>
  </si>
  <si>
    <t>Interest rate</t>
  </si>
  <si>
    <t>years</t>
  </si>
  <si>
    <t xml:space="preserve">SCP production </t>
  </si>
  <si>
    <t>Cost of hydrogen production</t>
  </si>
  <si>
    <t>Levelized cost of H2</t>
  </si>
  <si>
    <t>Reference</t>
  </si>
  <si>
    <t>Cost of nitrogen source</t>
  </si>
  <si>
    <t>Levelized cost of renewable ammonia</t>
  </si>
  <si>
    <t>Cost of CO2</t>
  </si>
  <si>
    <t xml:space="preserve">Levelized cost of CO2 </t>
  </si>
  <si>
    <t>CO2 captured from air thorugh DAC</t>
  </si>
  <si>
    <t>Mass CO2 per kg biomass</t>
  </si>
  <si>
    <t>Bioreactor operations</t>
  </si>
  <si>
    <t>Cost of renewable electricity</t>
  </si>
  <si>
    <t>Cost of electricity</t>
  </si>
  <si>
    <t>kWh / kg dw biomass</t>
  </si>
  <si>
    <t>kg CO2 / kg dw biomass</t>
  </si>
  <si>
    <t>USD / kwh</t>
  </si>
  <si>
    <t>ton dw biomass / y</t>
  </si>
  <si>
    <t>USD / kg H2</t>
  </si>
  <si>
    <t>kg H2 / kg dw biomass</t>
  </si>
  <si>
    <t>USD / ton  NH3</t>
  </si>
  <si>
    <t>USD / ton  N-NH3</t>
  </si>
  <si>
    <t>kg N / kg dw biomass</t>
  </si>
  <si>
    <t>USD / ton CO2</t>
  </si>
  <si>
    <t>Cost of energy for bioreactor stirring and cooling</t>
  </si>
  <si>
    <t>Operational costs linked to SCP fermentation</t>
  </si>
  <si>
    <t>Operational costs linked to overheads</t>
  </si>
  <si>
    <t>Overall production costs</t>
  </si>
  <si>
    <t>Cost of phosphorous source</t>
  </si>
  <si>
    <t>Cost of phosphoric acid</t>
  </si>
  <si>
    <t>Mass phosphate per kg biomass</t>
  </si>
  <si>
    <t>USD / ton</t>
  </si>
  <si>
    <t>kg PO4 / ton dw biomass</t>
  </si>
  <si>
    <t>Mass CO2 per biomass</t>
  </si>
  <si>
    <t>C kg / biomass kg</t>
  </si>
  <si>
    <r>
      <t>CO</t>
    </r>
    <r>
      <rPr>
        <vertAlign val="subscript"/>
        <sz val="11"/>
        <color theme="1"/>
        <rFont val="Arial"/>
        <family val="2"/>
      </rPr>
      <t>2</t>
    </r>
    <r>
      <rPr>
        <sz val="11"/>
        <color theme="1"/>
        <rFont val="Arial"/>
        <family val="2"/>
      </rPr>
      <t xml:space="preserve"> kg / C kg</t>
    </r>
  </si>
  <si>
    <r>
      <t>CO</t>
    </r>
    <r>
      <rPr>
        <vertAlign val="subscript"/>
        <sz val="11"/>
        <color theme="1"/>
        <rFont val="Arial"/>
        <family val="2"/>
      </rPr>
      <t>2</t>
    </r>
    <r>
      <rPr>
        <sz val="11"/>
        <color theme="1"/>
        <rFont val="Arial"/>
        <family val="2"/>
      </rPr>
      <t xml:space="preserve"> kg / biomass kg</t>
    </r>
  </si>
  <si>
    <t>Overheads</t>
  </si>
  <si>
    <t>Purity</t>
  </si>
  <si>
    <t>% H3PO4</t>
  </si>
  <si>
    <t>Levelized cost of methanol</t>
  </si>
  <si>
    <t>Cost of methanol production</t>
  </si>
  <si>
    <t>Cost of formate production</t>
  </si>
  <si>
    <t>Stoichiometric requirements</t>
  </si>
  <si>
    <t>kg MeOH / kg dw biomass</t>
  </si>
  <si>
    <t>USD / kg MeOH</t>
  </si>
  <si>
    <t>kg formate / kg dw biomass</t>
  </si>
  <si>
    <t>Electron donor: hydrogen / Metabolic pathway: Calvin cycle</t>
  </si>
  <si>
    <t>Electron donor: methanol / Metabolic pathway: RuMP cycle</t>
  </si>
  <si>
    <t>Electron donor: formate / Metabolic pathway: Serine cycle</t>
  </si>
  <si>
    <t>Capital investments and annuity for SCP fermentation plant</t>
  </si>
  <si>
    <t>General capital and operational costs for SCP production</t>
  </si>
  <si>
    <t>Energy Use and Economic Analysis of Fertilizer Use in Wheat and Sugar Beet Production in Serbia (Dimitrijević et al., 2020)</t>
  </si>
  <si>
    <t>Belgrade region</t>
  </si>
  <si>
    <t>ha</t>
  </si>
  <si>
    <t>hg/ha</t>
  </si>
  <si>
    <t>tonnes</t>
  </si>
  <si>
    <t>% global production</t>
  </si>
  <si>
    <t>Total Production  (Million tonnes)</t>
  </si>
  <si>
    <t>Total Land Area Harvested  (Millions ha)</t>
  </si>
  <si>
    <t>Multiyear Avg.</t>
  </si>
  <si>
    <t>caloric yields kcal/m2/y</t>
  </si>
  <si>
    <t>Production weighted averages</t>
  </si>
  <si>
    <t>Côte d'Ivoire</t>
  </si>
  <si>
    <t>Nauru</t>
  </si>
  <si>
    <t>Saint Kitts and Nevis</t>
  </si>
  <si>
    <t>Singapore</t>
  </si>
  <si>
    <t>g Protein/m2/y</t>
  </si>
  <si>
    <t>Mha</t>
  </si>
  <si>
    <t>FW production Mtons</t>
  </si>
  <si>
    <t>Global Production</t>
  </si>
  <si>
    <t>Range is from 0.4 to 3.28 kg/m3/hr for fermentor bioreactors, 5.7 for u-loops (note: report of 4 in u-loops refer to 100% protein e.g in Huizing 2005)</t>
  </si>
  <si>
    <t>1)H.-P. Meyer, W. Minas, D. Schmidhalter, “Industrial-scale fermentation” in Industrial Biotechnology: Products and Processes, pp. 1–53. (Wiley New Jersey, United States, 2017)
2) R. Z. Davis, Design and scale-up of production scale stirred tank fermentors. (2010).
3) S. K. Niazi, J. L. Brown, Fundamentals of modern bioprocessing (CRC Press, 2017).</t>
  </si>
  <si>
    <t xml:space="preserve">1) K. Tanaka, A. Ishizaki, T. Kanamaru, T. Kawano, Production of PoIy(D-3-Hydroxybutyrate) from CO2, H2, and O2 by High Cell Density Autotrophic Cultivation of Alcaligenes eutrophus. Biotechnol. Bioeng. 45, 268–275 (1995).
2) (H.J. Huizing, RapportenSusteïne© - Single Cell Protein (SCP) als alternatief voor soja: een haalbaarheidsstudie ( 2005)
3) A. Taweel, Q. Shah, B.  Aufderheide, Effect of Mixing on Microorganism Growth in Loop Bioreactors. (International Journal of Chemical Engineering, 2012)
</t>
  </si>
  <si>
    <t>Industrial-scale solar-powered electrolytic H2 production costs, including capital and operational expenses associated with pressure vessel H2 storage systems</t>
  </si>
  <si>
    <t>Cost of renewable formate production</t>
  </si>
  <si>
    <t>USD / kg formate</t>
  </si>
  <si>
    <r>
      <t xml:space="preserve">Downstream processing for  animal </t>
    </r>
    <r>
      <rPr>
        <b/>
        <u/>
        <sz val="11"/>
        <color rgb="FF000000"/>
        <rFont val="Arial"/>
        <family val="2"/>
      </rPr>
      <t>feed</t>
    </r>
    <r>
      <rPr>
        <b/>
        <sz val="11"/>
        <color rgb="FF000000"/>
        <rFont val="Arial"/>
        <family val="2"/>
      </rPr>
      <t xml:space="preserve"> production</t>
    </r>
  </si>
  <si>
    <r>
      <t xml:space="preserve">Downstream processing for  human </t>
    </r>
    <r>
      <rPr>
        <b/>
        <u/>
        <sz val="11"/>
        <color rgb="FF000000"/>
        <rFont val="Arial"/>
        <family val="2"/>
      </rPr>
      <t>food</t>
    </r>
    <r>
      <rPr>
        <b/>
        <sz val="11"/>
        <color rgb="FF000000"/>
        <rFont val="Arial"/>
        <family val="2"/>
      </rPr>
      <t xml:space="preserve"> production</t>
    </r>
  </si>
  <si>
    <r>
      <t xml:space="preserve">Overall Cultivation for  animal </t>
    </r>
    <r>
      <rPr>
        <b/>
        <u/>
        <sz val="11"/>
        <color rgb="FF000000"/>
        <rFont val="Arial"/>
        <family val="2"/>
      </rPr>
      <t xml:space="preserve">feed </t>
    </r>
    <r>
      <rPr>
        <b/>
        <sz val="11"/>
        <color rgb="FF000000"/>
        <rFont val="Arial"/>
        <family val="2"/>
      </rPr>
      <t>production</t>
    </r>
  </si>
  <si>
    <r>
      <t>Overall Cultivation for  human</t>
    </r>
    <r>
      <rPr>
        <b/>
        <u/>
        <sz val="11"/>
        <color rgb="FF000000"/>
        <rFont val="Arial"/>
        <family val="2"/>
      </rPr>
      <t xml:space="preserve"> food</t>
    </r>
    <r>
      <rPr>
        <b/>
        <sz val="11"/>
        <color rgb="FF000000"/>
        <rFont val="Arial"/>
        <family val="2"/>
      </rPr>
      <t xml:space="preserve"> production</t>
    </r>
  </si>
  <si>
    <r>
      <t xml:space="preserve">Downstream processing for  animal </t>
    </r>
    <r>
      <rPr>
        <b/>
        <u/>
        <sz val="11"/>
        <color theme="1"/>
        <rFont val="Arial"/>
        <family val="2"/>
      </rPr>
      <t xml:space="preserve">feed </t>
    </r>
    <r>
      <rPr>
        <b/>
        <sz val="11"/>
        <color theme="1"/>
        <rFont val="Arial"/>
        <family val="2"/>
      </rPr>
      <t>production</t>
    </r>
  </si>
  <si>
    <r>
      <t xml:space="preserve">Downstream processing for human </t>
    </r>
    <r>
      <rPr>
        <b/>
        <u/>
        <sz val="11"/>
        <color theme="1"/>
        <rFont val="Arial"/>
        <family val="2"/>
      </rPr>
      <t>food</t>
    </r>
    <r>
      <rPr>
        <b/>
        <sz val="11"/>
        <color theme="1"/>
        <rFont val="Arial"/>
        <family val="2"/>
      </rPr>
      <t xml:space="preserve"> production</t>
    </r>
  </si>
  <si>
    <t>Average yields</t>
  </si>
  <si>
    <t>Summary of results</t>
  </si>
  <si>
    <t>Production weighted average</t>
  </si>
  <si>
    <r>
      <t xml:space="preserve">Investment for large equipment and infrastructures needed for SCP cultivation and post-processing into </t>
    </r>
    <r>
      <rPr>
        <b/>
        <sz val="11"/>
        <color theme="1"/>
        <rFont val="Arial"/>
        <family val="2"/>
      </rPr>
      <t>animal feed</t>
    </r>
  </si>
  <si>
    <t>Million USD</t>
  </si>
  <si>
    <r>
      <t xml:space="preserve">Investment for large equipment and infrastructures needed for SCP cultivation and post-processing into </t>
    </r>
    <r>
      <rPr>
        <b/>
        <sz val="11"/>
        <color theme="1"/>
        <rFont val="Arial"/>
        <family val="2"/>
      </rPr>
      <t>human food</t>
    </r>
  </si>
  <si>
    <t>USD / kg dw biomass</t>
  </si>
  <si>
    <t>Total (feed)</t>
  </si>
  <si>
    <t>Total (food)</t>
  </si>
  <si>
    <t xml:space="preserve">Total cost for animal feed </t>
  </si>
  <si>
    <t>SCP for animal feed</t>
  </si>
  <si>
    <t>USD / kg dw protein</t>
  </si>
  <si>
    <t xml:space="preserve">Total cost for human food </t>
  </si>
  <si>
    <t xml:space="preserve">SCP for human food </t>
  </si>
  <si>
    <t>Cost for post-procesing into animal feed</t>
  </si>
  <si>
    <t>Total animal feed</t>
  </si>
  <si>
    <t>Cost for post-procesing into human food</t>
  </si>
  <si>
    <t>Total human food</t>
  </si>
  <si>
    <r>
      <t xml:space="preserve">Assumed to be equal to the annuity of capital expenses for fermentation plant for </t>
    </r>
    <r>
      <rPr>
        <b/>
        <sz val="11"/>
        <color theme="1"/>
        <rFont val="Arial"/>
        <family val="2"/>
      </rPr>
      <t>animal feed</t>
    </r>
  </si>
  <si>
    <r>
      <t xml:space="preserve">Assumed to be equal to the annuity of capital expenses for fermentation plant for </t>
    </r>
    <r>
      <rPr>
        <b/>
        <sz val="11"/>
        <color theme="1"/>
        <rFont val="Arial"/>
        <family val="2"/>
      </rPr>
      <t>human food</t>
    </r>
  </si>
  <si>
    <t>L. Soto, et al., Extraction and fractionation of microalgae-based protein products. Algal Research 36, 175-192 (2018).</t>
  </si>
  <si>
    <t>Electron donor requirement</t>
  </si>
  <si>
    <t>e- donor</t>
  </si>
  <si>
    <t>Metabolic pathway</t>
  </si>
  <si>
    <t>1) I. Pikaar et al. Decoupling Livestock from Land Use through Industrial Feed Production Pathways, Environ. Sci. Technol. 52 (2018)       2) J.B. García Martínez et al. Potential of microbial protein from hydrogen for preventing mass starvation in catastrophic scenarios, Sustain. Prod. Consum. 25 (2021)</t>
  </si>
  <si>
    <t xml:space="preserve">D.S. Mallapragada et al. Can Industrial-Scale Solar Hydrogen Supplied from Commodity Technologies Be Cost Competitive by 2030?, Cell Reports Phys. Sci. 1 (2020). </t>
  </si>
  <si>
    <t xml:space="preserve">M.J. Bos, S.R.A. Kersten, D.W.F. Brilman. Wind power to methanol: Renewable methanol production using electricity, electrolysis of water and CO2 air capture, Appl. Energy. 264 (2020) </t>
  </si>
  <si>
    <t>M. Ramdin et al. High-Pressure Electrochemical Reduction of CO2 to Formic Acid/Formate: Effect of pH on the Downstream Separation Process and Economics, Ind. Eng. Chem. Res. 58 (2019)</t>
  </si>
  <si>
    <t>Formate</t>
  </si>
  <si>
    <t>Calvin cycle</t>
  </si>
  <si>
    <t>e- donor to biomass efficiency</t>
  </si>
  <si>
    <t>N.J. Claassens, C.A.R. Cotton, D. Kopljar, A. Bar-Even, Making quantitative sense of electromicrobial production, Nat. Catal. 2 (2019)</t>
  </si>
  <si>
    <t>Note: conservatively assumed to be 20% and 40% higher than investment for conventional SCP to animal feed</t>
  </si>
  <si>
    <t>Biomass combustion energy</t>
  </si>
  <si>
    <t>See e- donor requirement table</t>
  </si>
  <si>
    <t>See e-donor requirement table</t>
  </si>
  <si>
    <t>e- donor combustion energy</t>
  </si>
  <si>
    <t>MJ/mol</t>
  </si>
  <si>
    <t>g/mol</t>
  </si>
  <si>
    <t>e- donor requirement</t>
  </si>
  <si>
    <t>mol/kg dw biomass</t>
  </si>
  <si>
    <t>kg/kg dw biomass</t>
  </si>
  <si>
    <t>Serine cycle</t>
  </si>
  <si>
    <r>
      <t>D.W. Keith, G. Holmes, D. St. Angelo, K. Heidel. A Process for Capturing CO</t>
    </r>
    <r>
      <rPr>
        <vertAlign val="subscript"/>
        <sz val="11"/>
        <color theme="1"/>
        <rFont val="Calibri"/>
        <family val="2"/>
        <scheme val="minor"/>
      </rPr>
      <t>2</t>
    </r>
    <r>
      <rPr>
        <sz val="11"/>
        <color theme="1"/>
        <rFont val="Calibri"/>
        <family val="2"/>
        <scheme val="minor"/>
      </rPr>
      <t xml:space="preserve"> from the Atmosphere, Joule. 2 (2018)</t>
    </r>
  </si>
  <si>
    <t>Included in the production of methanol (same range of USD 94 - 232  / ton CO2 from Keith at al., 2018)</t>
  </si>
  <si>
    <t>Included in the production of formate (same range of USD 94 - 232  / ton CO2 from Keith at al., 2018)</t>
  </si>
  <si>
    <t>e- donor molar mass</t>
  </si>
  <si>
    <t>e-donor</t>
  </si>
  <si>
    <t>Methanol</t>
  </si>
  <si>
    <t>Renewable electricity-powered ammonia synthesis through Haber-Bosch process</t>
  </si>
  <si>
    <t>O. Osman, S. Sgouridis, A. Sleptchenko. Scaling the production of renewable ammonia: A techno-economic optimization applied in regions with high insolation, J. Clean. Prod. 271 (2020)</t>
  </si>
  <si>
    <t xml:space="preserve">I. Pikaar et al. Decoupling Livestock from Land Use through Industrial Feed Production Pathways, Environ. Sci. Technol. 52 (2018)   </t>
  </si>
  <si>
    <t>RuMP cycle</t>
  </si>
  <si>
    <t>Hydrogen</t>
  </si>
  <si>
    <t xml:space="preserve">Operational costs linked to post-procesing </t>
  </si>
  <si>
    <t>protein yields g/m2/y</t>
  </si>
  <si>
    <t>FAO data is recorded in primary commodity weights (without additional parts or stover during harvest): for grains it is in dry grain form, while for other products it is in non-dry ready to eat form (such as sugar beet, sugar cane, soybeans). An exception is rice which yield and production values are recorded as "rice, paddy" (harvested biomass).</t>
  </si>
  <si>
    <t>More information on FAO's methodology can be found in here:</t>
  </si>
  <si>
    <t>http://www.fao.org/3/x9892e/x9892e00.pdf</t>
  </si>
  <si>
    <t>FAO's Food Balance Sheets can be found here</t>
  </si>
  <si>
    <t>http://www.fao.org/faostat/en/#data/FBS</t>
  </si>
  <si>
    <t xml:space="preserve">In accordance with the crop yield and production data described above, FAO's food composition tables adjust the nutrient content values such that the multiplication of a certain food items' yield or production with its equivalent food composition table values will result in the nutrient content or yield of that food item without the need to add additional coefficients/harvest indices to filter the non-edible portions. </t>
  </si>
  <si>
    <t>FAO's food composition table can be found here:</t>
  </si>
  <si>
    <t>http://www.fao.org/3/X9892E/X9892e05.htm#P8217_125315</t>
  </si>
  <si>
    <t xml:space="preserve">For example, milled rice's mass is 67% of the rice harvested in the field (termed "rice, paddy"). However FAO's food composition table capture this differences by providing different nutrient composition values (per mass) for "milled rice" and "rice,paddy", assigning lower values for "rice, paddy" because of its non edible share. </t>
  </si>
  <si>
    <t>Therefore multiplying rice production or yield values with its food composition value ("rice, paddy") will result in exact nutrient volumes or yields, correcting for the inedible portions.</t>
  </si>
  <si>
    <r>
      <t xml:space="preserve">Production weighted average </t>
    </r>
    <r>
      <rPr>
        <b/>
        <sz val="11"/>
        <color theme="1"/>
        <rFont val="Calibri"/>
        <family val="2"/>
        <scheme val="minor"/>
      </rPr>
      <t>FW</t>
    </r>
    <r>
      <rPr>
        <sz val="11"/>
        <color theme="1"/>
        <rFont val="Calibri"/>
        <family val="2"/>
        <scheme val="minor"/>
      </rPr>
      <t xml:space="preserve"> yield  (g/m2/y)</t>
    </r>
  </si>
  <si>
    <r>
      <t>Average</t>
    </r>
    <r>
      <rPr>
        <b/>
        <sz val="11"/>
        <color theme="1"/>
        <rFont val="Calibri"/>
        <family val="2"/>
        <scheme val="minor"/>
      </rPr>
      <t xml:space="preserve"> FW </t>
    </r>
    <r>
      <rPr>
        <sz val="11"/>
        <color theme="1"/>
        <rFont val="Calibri"/>
        <family val="2"/>
        <scheme val="minor"/>
      </rPr>
      <t>yield  (g/m2/y)</t>
    </r>
  </si>
  <si>
    <r>
      <t xml:space="preserve">Average </t>
    </r>
    <r>
      <rPr>
        <b/>
        <sz val="11"/>
        <color theme="1"/>
        <rFont val="Calibri"/>
        <family val="2"/>
        <scheme val="minor"/>
      </rPr>
      <t>kcal</t>
    </r>
    <r>
      <rPr>
        <sz val="11"/>
        <color theme="1"/>
        <rFont val="Calibri"/>
        <family val="2"/>
        <scheme val="minor"/>
      </rPr>
      <t xml:space="preserve"> yield  (kcal/m2/y)</t>
    </r>
  </si>
  <si>
    <r>
      <t xml:space="preserve">Production weighted average </t>
    </r>
    <r>
      <rPr>
        <b/>
        <sz val="11"/>
        <color theme="1"/>
        <rFont val="Calibri"/>
        <family val="2"/>
        <scheme val="minor"/>
      </rPr>
      <t xml:space="preserve">kcal </t>
    </r>
    <r>
      <rPr>
        <sz val="11"/>
        <color theme="1"/>
        <rFont val="Calibri"/>
        <family val="2"/>
        <scheme val="minor"/>
      </rPr>
      <t>yield  (kcal/m2/y)</t>
    </r>
  </si>
  <si>
    <r>
      <t xml:space="preserve">Average </t>
    </r>
    <r>
      <rPr>
        <b/>
        <sz val="11"/>
        <color theme="1"/>
        <rFont val="Calibri"/>
        <family val="2"/>
        <scheme val="minor"/>
      </rPr>
      <t xml:space="preserve">protein </t>
    </r>
    <r>
      <rPr>
        <sz val="11"/>
        <color theme="1"/>
        <rFont val="Calibri"/>
        <family val="2"/>
        <scheme val="minor"/>
      </rPr>
      <t>yield</t>
    </r>
    <r>
      <rPr>
        <b/>
        <sz val="11"/>
        <color theme="1"/>
        <rFont val="Calibri"/>
        <family val="2"/>
        <scheme val="minor"/>
      </rPr>
      <t xml:space="preserve"> </t>
    </r>
    <r>
      <rPr>
        <sz val="11"/>
        <color theme="1"/>
        <rFont val="Calibri"/>
        <family val="2"/>
        <scheme val="minor"/>
      </rPr>
      <t xml:space="preserve"> (g/m2/y)</t>
    </r>
  </si>
  <si>
    <r>
      <t xml:space="preserve">Production weighted average </t>
    </r>
    <r>
      <rPr>
        <b/>
        <sz val="11"/>
        <color theme="1"/>
        <rFont val="Calibri"/>
        <family val="2"/>
        <scheme val="minor"/>
      </rPr>
      <t xml:space="preserve">protein </t>
    </r>
    <r>
      <rPr>
        <sz val="11"/>
        <color theme="1"/>
        <rFont val="Calibri"/>
        <family val="2"/>
        <scheme val="minor"/>
      </rPr>
      <t>yield  (g/m2/y)</t>
    </r>
  </si>
  <si>
    <t>full biomass</t>
  </si>
  <si>
    <t>protein</t>
  </si>
  <si>
    <t>FW yield g/m2/y</t>
  </si>
  <si>
    <t xml:space="preserve"> kcal/m2/y </t>
  </si>
  <si>
    <t>Protein  g/m2/y</t>
  </si>
  <si>
    <t xml:space="preserve"> Energy in protein kcal/m2/y </t>
  </si>
  <si>
    <t>Median Irradiance in crop data kWh/m2/y</t>
  </si>
  <si>
    <t xml:space="preserve">Error </t>
  </si>
  <si>
    <t>Error</t>
  </si>
  <si>
    <t>PVr</t>
  </si>
  <si>
    <t>Maize irrigated</t>
  </si>
  <si>
    <t>Maize sillage</t>
  </si>
  <si>
    <t>Soybean</t>
  </si>
  <si>
    <t>Crop Energy Efficiency</t>
  </si>
  <si>
    <t>Energy efficiency summary for maize, sugar beet, and soybean</t>
  </si>
  <si>
    <t>S1A</t>
  </si>
  <si>
    <t>S1B</t>
  </si>
  <si>
    <t>S1C</t>
  </si>
  <si>
    <t>S1D</t>
  </si>
  <si>
    <t>S1E</t>
  </si>
  <si>
    <t>S1F</t>
  </si>
  <si>
    <t>S1G</t>
  </si>
  <si>
    <t>S1H</t>
  </si>
  <si>
    <t>See Dataset S1D</t>
  </si>
  <si>
    <t>see Dataset S1D</t>
  </si>
  <si>
    <t>Energy of SCP Cultivation</t>
  </si>
  <si>
    <t>Industrial-scale methanol production from renewable energy and captured CO2 (conversion factor of 1.23 USD/Eur)</t>
  </si>
  <si>
    <t xml:space="preserve"> Capital and operational costs of electrochemical reduction of CO2 to a 10% aqueous potassium formate solution, to be fed directly to bioreactors. The costs were calculated by subtracting the expenses for downstream distillation and concentration to produce a 85% formic acid solution (see Table 10. "base": Value low; "worse": Value high).</t>
  </si>
  <si>
    <t>SCP Financial Cost Estimation</t>
  </si>
  <si>
    <t>Food and Agriculture Organization 2017-2019 global crop yields by region combined with nutritional composition data to estimate corresponding kilocalorie and protein yields of crops</t>
  </si>
  <si>
    <t xml:space="preserve">Estimated financial costs of producing SCP for animal and human consumption </t>
  </si>
  <si>
    <t>The above table is a summary of Dataset S2</t>
  </si>
  <si>
    <t>Global Horizontal Irradiance (kWh/m2/year)</t>
  </si>
  <si>
    <t>Diffuse horizontal (kWh/m2/year)</t>
  </si>
  <si>
    <t>Direct Normal (kWh/m2/year)</t>
  </si>
  <si>
    <t xml:space="preserve">  Bioreactor stirring </t>
  </si>
  <si>
    <t>Spray drying</t>
  </si>
  <si>
    <r>
      <t xml:space="preserve">K. Nath, </t>
    </r>
    <r>
      <rPr>
        <sz val="11"/>
        <color theme="1"/>
        <rFont val="Calibri"/>
        <family val="2"/>
        <scheme val="minor"/>
      </rPr>
      <t>Membrane separation processes (PHI Learning Pvt. Ltd., 2017).</t>
    </r>
  </si>
  <si>
    <r>
      <t xml:space="preserve">L. Metcalf, H. P. Eddy, G. Tchobanoglous, </t>
    </r>
    <r>
      <rPr>
        <sz val="11"/>
        <color theme="1"/>
        <rFont val="Calibri"/>
        <family val="2"/>
        <scheme val="minor"/>
      </rPr>
      <t>Wastewater engineering: treatment, disposal, and reuse (McGraw-Hill New York, 1979).</t>
    </r>
  </si>
  <si>
    <t>PVr correction function (see Methods)</t>
  </si>
  <si>
    <r>
      <rPr>
        <b/>
        <sz val="10"/>
        <color theme="1"/>
        <rFont val="Arial"/>
        <family val="2"/>
      </rPr>
      <t>PV-SCP</t>
    </r>
    <r>
      <rPr>
        <sz val="10"/>
        <color theme="1"/>
        <rFont val="Arial"/>
        <family val="2"/>
      </rPr>
      <t>:</t>
    </r>
    <r>
      <rPr>
        <b/>
        <sz val="10"/>
        <color theme="1"/>
        <rFont val="Arial"/>
        <family val="2"/>
      </rPr>
      <t xml:space="preserve"> Expected energy efficiency</t>
    </r>
    <r>
      <rPr>
        <sz val="10"/>
        <color theme="1"/>
        <rFont val="Arial"/>
        <family val="2"/>
      </rPr>
      <t xml:space="preserve"> at the median irradiance (using Methanol-RuMP pathway)</t>
    </r>
  </si>
  <si>
    <t>Note: EE stands for energy efficiency</t>
  </si>
  <si>
    <t>Crop EE only protein</t>
  </si>
  <si>
    <t>PV-SCP EE Feed</t>
  </si>
  <si>
    <t>PV-SCP EE Food</t>
  </si>
  <si>
    <t>Crop EE full edible portion</t>
  </si>
  <si>
    <t>Energetic cost of Direct Air Capture of CO2 calculated per unit of biomass produced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</si>
</sst>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00"/>
    <numFmt numFmtId="167" formatCode="#,##0.000"/>
    <numFmt numFmtId="168" formatCode="0.0%"/>
    <numFmt numFmtId="169" formatCode="0.000"/>
    <numFmt numFmtId="170" formatCode="0.0000"/>
    <numFmt numFmtId="171" formatCode="0.000%"/>
  </numFmts>
  <fonts count="43" x14ac:knownFonts="1">
    <font>
      <sz val="11"/>
      <color theme="1"/>
      <name val="Calibri"/>
      <family val="2"/>
      <scheme val="minor"/>
    </font>
    <font>
      <b/>
      <sz val="11"/>
      <color theme="1"/>
      <name val="Calibri"/>
      <family val="2"/>
      <scheme val="minor"/>
    </font>
    <font>
      <sz val="11"/>
      <color rgb="FF000000"/>
      <name val="Calibri"/>
      <family val="2"/>
    </font>
    <font>
      <sz val="11"/>
      <color rgb="FF000000"/>
      <name val="Arial"/>
      <family val="2"/>
    </font>
    <font>
      <sz val="10"/>
      <name val="Arial"/>
      <family val="2"/>
    </font>
    <font>
      <sz val="11"/>
      <color theme="1"/>
      <name val="Calibri"/>
      <family val="2"/>
      <charset val="177"/>
      <scheme val="minor"/>
    </font>
    <font>
      <u/>
      <sz val="11"/>
      <color theme="10"/>
      <name val="Calibri"/>
      <family val="2"/>
      <scheme val="minor"/>
    </font>
    <font>
      <b/>
      <sz val="11"/>
      <color rgb="FF000000"/>
      <name val="Calibri"/>
      <family val="2"/>
    </font>
    <font>
      <sz val="11"/>
      <name val="Calibri"/>
      <family val="2"/>
    </font>
    <font>
      <sz val="10"/>
      <color rgb="FF000000"/>
      <name val="Calibri"/>
      <family val="2"/>
      <scheme val="minor"/>
    </font>
    <font>
      <sz val="11"/>
      <color theme="1"/>
      <name val="Arial"/>
      <family val="2"/>
    </font>
    <font>
      <b/>
      <sz val="11"/>
      <color theme="1"/>
      <name val="Arial"/>
      <family val="2"/>
    </font>
    <font>
      <b/>
      <sz val="12"/>
      <color theme="1"/>
      <name val="Calibri"/>
      <family val="2"/>
      <scheme val="minor"/>
    </font>
    <font>
      <sz val="11"/>
      <color rgb="FFFF0000"/>
      <name val="Calibri"/>
      <family val="2"/>
      <scheme val="minor"/>
    </font>
    <font>
      <b/>
      <sz val="11"/>
      <color theme="1"/>
      <name val="Calibri"/>
      <family val="2"/>
    </font>
    <font>
      <sz val="11"/>
      <color theme="1"/>
      <name val="Calibri"/>
      <family val="2"/>
    </font>
    <font>
      <sz val="11"/>
      <color theme="1"/>
      <name val="Calibri"/>
      <family val="2"/>
      <scheme val="minor"/>
    </font>
    <font>
      <vertAlign val="subscript"/>
      <sz val="11"/>
      <color rgb="FF000000"/>
      <name val="Arial"/>
      <family val="2"/>
    </font>
    <font>
      <i/>
      <sz val="11"/>
      <color theme="1"/>
      <name val="Arial"/>
      <family val="2"/>
    </font>
    <font>
      <sz val="10"/>
      <color theme="1"/>
      <name val="Arial"/>
      <family val="2"/>
    </font>
    <font>
      <sz val="11"/>
      <name val="Calibri"/>
      <family val="2"/>
      <scheme val="minor"/>
    </font>
    <font>
      <b/>
      <sz val="11"/>
      <color rgb="FF000000"/>
      <name val="Arial"/>
      <family val="2"/>
    </font>
    <font>
      <sz val="11"/>
      <name val="Arial"/>
      <family val="2"/>
    </font>
    <font>
      <b/>
      <sz val="11"/>
      <name val="Arial"/>
      <family val="2"/>
    </font>
    <font>
      <sz val="11"/>
      <color rgb="FF333333"/>
      <name val="Arial"/>
      <family val="2"/>
    </font>
    <font>
      <u/>
      <sz val="11"/>
      <color rgb="FFFFFFFF"/>
      <name val="Arial"/>
      <family val="2"/>
    </font>
    <font>
      <sz val="11"/>
      <color rgb="FFFF0000"/>
      <name val="Arial"/>
      <family val="2"/>
    </font>
    <font>
      <vertAlign val="subscript"/>
      <sz val="11"/>
      <color theme="1"/>
      <name val="Arial"/>
      <family val="2"/>
    </font>
    <font>
      <sz val="11"/>
      <color rgb="FF0070C0"/>
      <name val="Calibri"/>
      <family val="2"/>
      <scheme val="minor"/>
    </font>
    <font>
      <sz val="20"/>
      <color theme="1"/>
      <name val="Calibri"/>
      <family val="2"/>
      <scheme val="minor"/>
    </font>
    <font>
      <b/>
      <sz val="20"/>
      <name val="Arial"/>
      <family val="2"/>
    </font>
    <font>
      <sz val="16"/>
      <color theme="1"/>
      <name val="Calibri"/>
      <family val="2"/>
      <scheme val="minor"/>
    </font>
    <font>
      <sz val="14"/>
      <color theme="1"/>
      <name val="Calibri"/>
      <family val="2"/>
      <scheme val="minor"/>
    </font>
    <font>
      <b/>
      <u/>
      <sz val="11"/>
      <color rgb="FF000000"/>
      <name val="Arial"/>
      <family val="2"/>
    </font>
    <font>
      <b/>
      <u/>
      <sz val="11"/>
      <color theme="1"/>
      <name val="Arial"/>
      <family val="2"/>
    </font>
    <font>
      <b/>
      <sz val="10"/>
      <color theme="1"/>
      <name val="Arial"/>
      <family val="2"/>
    </font>
    <font>
      <vertAlign val="subscript"/>
      <sz val="11"/>
      <color theme="1"/>
      <name val="Calibri"/>
      <family val="2"/>
      <scheme val="minor"/>
    </font>
    <font>
      <b/>
      <sz val="10"/>
      <name val="Arial"/>
      <family val="2"/>
    </font>
    <font>
      <sz val="10"/>
      <color rgb="FF000000"/>
      <name val="Arial"/>
      <family val="2"/>
    </font>
    <font>
      <sz val="10"/>
      <color rgb="FF999999"/>
      <name val="Arial"/>
      <family val="2"/>
    </font>
    <font>
      <sz val="10"/>
      <color rgb="FFFF0000"/>
      <name val="Arial"/>
      <family val="2"/>
    </font>
    <font>
      <b/>
      <sz val="20"/>
      <color theme="1"/>
      <name val="Calibri"/>
      <family val="2"/>
      <scheme val="minor"/>
    </font>
    <font>
      <sz val="11"/>
      <color theme="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2" tint="-0.14999847407452621"/>
        <bgColor indexed="64"/>
      </patternFill>
    </fill>
    <fill>
      <patternFill patternType="solid">
        <fgColor rgb="FFCFE2F3"/>
        <bgColor rgb="FFCFE2F3"/>
      </patternFill>
    </fill>
    <fill>
      <patternFill patternType="solid">
        <fgColor theme="0" tint="-4.9989318521683403E-2"/>
        <bgColor indexed="64"/>
      </patternFill>
    </fill>
    <fill>
      <patternFill patternType="solid">
        <fgColor theme="9"/>
        <bgColor rgb="FFCFE2F3"/>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rgb="FFCFE2F3"/>
      </patternFill>
    </fill>
    <fill>
      <patternFill patternType="solid">
        <fgColor theme="5" tint="0.59999389629810485"/>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diagonal/>
    </border>
    <border>
      <left style="medium">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bottom style="thin">
        <color rgb="FF000000"/>
      </bottom>
      <diagonal/>
    </border>
    <border>
      <left/>
      <right style="thin">
        <color indexed="64"/>
      </right>
      <top style="thin">
        <color rgb="FF000000"/>
      </top>
      <bottom style="thin">
        <color indexed="64"/>
      </bottom>
      <diagonal/>
    </border>
  </borders>
  <cellStyleXfs count="5">
    <xf numFmtId="0" fontId="0" fillId="0" borderId="0"/>
    <xf numFmtId="0" fontId="5" fillId="0" borderId="0"/>
    <xf numFmtId="0" fontId="6" fillId="0" borderId="0" applyNumberFormat="0" applyFill="0" applyBorder="0" applyAlignment="0" applyProtection="0"/>
    <xf numFmtId="0" fontId="4" fillId="0" borderId="0"/>
    <xf numFmtId="9" fontId="16" fillId="0" borderId="0" applyFont="0" applyFill="0" applyBorder="0" applyAlignment="0" applyProtection="0"/>
  </cellStyleXfs>
  <cellXfs count="694">
    <xf numFmtId="0" fontId="0" fillId="0" borderId="0" xfId="0"/>
    <xf numFmtId="0" fontId="0" fillId="0" borderId="3" xfId="0" applyBorder="1"/>
    <xf numFmtId="0" fontId="0" fillId="0" borderId="5" xfId="0" applyBorder="1"/>
    <xf numFmtId="1" fontId="0" fillId="0" borderId="0" xfId="0" applyNumberFormat="1"/>
    <xf numFmtId="10" fontId="0" fillId="0" borderId="0" xfId="0" applyNumberFormat="1"/>
    <xf numFmtId="2" fontId="0" fillId="0" borderId="0" xfId="0" applyNumberFormat="1"/>
    <xf numFmtId="49" fontId="7" fillId="2" borderId="9" xfId="0" applyNumberFormat="1"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3" fontId="0" fillId="0" borderId="0" xfId="0" applyNumberFormat="1"/>
    <xf numFmtId="0" fontId="0" fillId="0" borderId="0" xfId="0" applyNumberFormat="1"/>
    <xf numFmtId="0" fontId="0" fillId="0" borderId="0" xfId="0" applyFill="1"/>
    <xf numFmtId="0" fontId="0" fillId="0" borderId="0" xfId="0" applyFont="1"/>
    <xf numFmtId="166" fontId="0" fillId="0" borderId="0" xfId="0" applyNumberFormat="1"/>
    <xf numFmtId="167" fontId="0" fillId="0" borderId="0" xfId="0" applyNumberFormat="1"/>
    <xf numFmtId="49" fontId="0" fillId="0" borderId="0" xfId="0" applyNumberFormat="1" applyFill="1"/>
    <xf numFmtId="0" fontId="0" fillId="0" borderId="0" xfId="0" applyFill="1" applyAlignment="1">
      <alignment horizontal="center"/>
    </xf>
    <xf numFmtId="0" fontId="2" fillId="0" borderId="9" xfId="0" applyFont="1" applyFill="1" applyBorder="1" applyAlignment="1" applyProtection="1">
      <alignment horizontal="center" vertical="center" wrapText="1"/>
    </xf>
    <xf numFmtId="0" fontId="2" fillId="0" borderId="9" xfId="0" applyFont="1" applyBorder="1" applyAlignment="1">
      <alignment horizontal="center" vertical="center" wrapText="1"/>
    </xf>
    <xf numFmtId="0" fontId="8" fillId="0" borderId="9" xfId="0" applyFont="1" applyFill="1" applyBorder="1" applyAlignment="1" applyProtection="1">
      <alignment horizontal="center" vertical="center" wrapText="1"/>
    </xf>
    <xf numFmtId="0" fontId="1" fillId="2"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9" xfId="0" applyFont="1" applyBorder="1" applyAlignment="1">
      <alignment horizontal="center" vertical="center"/>
    </xf>
    <xf numFmtId="0" fontId="10" fillId="0" borderId="0" xfId="0" applyFont="1"/>
    <xf numFmtId="165" fontId="10" fillId="0" borderId="0" xfId="0" applyNumberFormat="1" applyFont="1"/>
    <xf numFmtId="0" fontId="11" fillId="0" borderId="0" xfId="0" applyFont="1"/>
    <xf numFmtId="0" fontId="0" fillId="0" borderId="0" xfId="0" applyAlignment="1">
      <alignment wrapText="1"/>
    </xf>
    <xf numFmtId="49" fontId="2" fillId="0" borderId="9" xfId="0" applyNumberFormat="1"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164" fontId="15" fillId="0" borderId="9" xfId="0" applyNumberFormat="1" applyFont="1" applyFill="1" applyBorder="1" applyAlignment="1" applyProtection="1">
      <alignment horizontal="center" vertical="center"/>
    </xf>
    <xf numFmtId="164" fontId="2" fillId="0" borderId="9" xfId="0" applyNumberFormat="1" applyFont="1" applyFill="1" applyBorder="1" applyAlignment="1" applyProtection="1">
      <alignment horizontal="center" vertical="center"/>
    </xf>
    <xf numFmtId="1"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9" xfId="0" applyFill="1" applyBorder="1" applyAlignment="1">
      <alignment horizontal="center" vertical="center"/>
    </xf>
    <xf numFmtId="10" fontId="0" fillId="0" borderId="9" xfId="0" applyNumberFormat="1" applyBorder="1" applyAlignment="1">
      <alignment horizontal="center" vertical="center"/>
    </xf>
    <xf numFmtId="49" fontId="2" fillId="0" borderId="9" xfId="0" applyNumberFormat="1" applyFont="1" applyFill="1" applyBorder="1" applyAlignment="1" applyProtection="1">
      <alignment horizontal="center" vertical="center" wrapText="1"/>
    </xf>
    <xf numFmtId="164" fontId="2" fillId="0" borderId="9" xfId="0" applyNumberFormat="1" applyFont="1" applyFill="1" applyBorder="1" applyAlignment="1" applyProtection="1">
      <alignment horizontal="center" vertical="center" wrapText="1"/>
    </xf>
    <xf numFmtId="165" fontId="2" fillId="0" borderId="9" xfId="0" applyNumberFormat="1" applyFont="1" applyBorder="1" applyAlignment="1">
      <alignment horizontal="center" vertical="center" wrapText="1"/>
    </xf>
    <xf numFmtId="1" fontId="0" fillId="0" borderId="9" xfId="0" applyNumberFormat="1" applyFill="1" applyBorder="1" applyAlignment="1">
      <alignment horizontal="center" vertical="center"/>
    </xf>
    <xf numFmtId="0" fontId="9" fillId="0" borderId="9" xfId="0" applyFont="1" applyFill="1" applyBorder="1" applyAlignment="1">
      <alignment horizontal="center" vertical="center"/>
    </xf>
    <xf numFmtId="0" fontId="0" fillId="0" borderId="9" xfId="0" applyNumberFormat="1" applyFill="1" applyBorder="1" applyAlignment="1">
      <alignment horizontal="center" vertical="center"/>
    </xf>
    <xf numFmtId="0" fontId="0" fillId="0" borderId="9" xfId="0" applyNumberFormat="1" applyBorder="1" applyAlignment="1">
      <alignment horizontal="center" vertical="center"/>
    </xf>
    <xf numFmtId="2" fontId="0" fillId="0" borderId="9" xfId="0" applyNumberFormat="1" applyBorder="1" applyAlignment="1">
      <alignment horizontal="center" vertical="center"/>
    </xf>
    <xf numFmtId="49" fontId="2" fillId="0" borderId="9"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9" fillId="0" borderId="9" xfId="0" applyNumberFormat="1" applyFont="1" applyFill="1" applyBorder="1" applyAlignment="1">
      <alignment horizontal="center" vertical="center"/>
    </xf>
    <xf numFmtId="49" fontId="8" fillId="0" borderId="9" xfId="0" applyNumberFormat="1" applyFont="1" applyFill="1" applyBorder="1" applyAlignment="1" applyProtection="1">
      <alignment horizontal="center" vertical="center" wrapText="1"/>
    </xf>
    <xf numFmtId="164" fontId="8" fillId="0" borderId="9" xfId="0" applyNumberFormat="1" applyFont="1" applyFill="1" applyBorder="1" applyAlignment="1" applyProtection="1">
      <alignment horizontal="center" vertical="center" wrapText="1"/>
    </xf>
    <xf numFmtId="1" fontId="9" fillId="0" borderId="9" xfId="0" applyNumberFormat="1" applyFont="1" applyFill="1" applyBorder="1" applyAlignment="1">
      <alignment horizontal="center" vertical="center"/>
    </xf>
    <xf numFmtId="0" fontId="9" fillId="0" borderId="9" xfId="0" applyNumberFormat="1" applyFont="1" applyBorder="1" applyAlignment="1">
      <alignment horizontal="center" vertical="center"/>
    </xf>
    <xf numFmtId="0" fontId="9" fillId="0" borderId="9" xfId="0" applyFont="1" applyBorder="1" applyAlignment="1">
      <alignment horizontal="center" vertical="center"/>
    </xf>
    <xf numFmtId="2" fontId="2" fillId="0" borderId="9" xfId="0" applyNumberFormat="1" applyFont="1" applyFill="1" applyBorder="1" applyAlignment="1" applyProtection="1">
      <alignment horizontal="center" vertical="center"/>
    </xf>
    <xf numFmtId="1" fontId="9" fillId="0" borderId="9" xfId="0" applyNumberFormat="1" applyFont="1" applyBorder="1" applyAlignment="1">
      <alignment horizontal="center" vertical="center"/>
    </xf>
    <xf numFmtId="0" fontId="15" fillId="0" borderId="9" xfId="0" applyFont="1" applyFill="1" applyBorder="1" applyAlignment="1" applyProtection="1">
      <alignment horizontal="center" vertical="center"/>
    </xf>
    <xf numFmtId="49" fontId="15" fillId="0" borderId="9" xfId="0" applyNumberFormat="1" applyFont="1" applyFill="1" applyBorder="1" applyAlignment="1" applyProtection="1">
      <alignment horizontal="center" vertical="center"/>
    </xf>
    <xf numFmtId="0" fontId="0" fillId="0" borderId="0" xfId="0"/>
    <xf numFmtId="0" fontId="2" fillId="0" borderId="10" xfId="0" applyFont="1" applyFill="1" applyBorder="1" applyAlignment="1" applyProtection="1">
      <alignment horizontal="center" vertical="center"/>
    </xf>
    <xf numFmtId="0" fontId="0" fillId="0" borderId="0" xfId="0" applyAlignment="1">
      <alignment horizontal="center"/>
    </xf>
    <xf numFmtId="0" fontId="7" fillId="2" borderId="9" xfId="0" applyFont="1" applyFill="1" applyBorder="1" applyAlignment="1" applyProtection="1">
      <alignment horizontal="center" vertical="center" wrapText="1"/>
    </xf>
    <xf numFmtId="0" fontId="7" fillId="2" borderId="9" xfId="0" applyNumberFormat="1" applyFont="1" applyFill="1" applyBorder="1" applyAlignment="1" applyProtection="1">
      <alignment horizontal="center" vertical="center" wrapText="1"/>
    </xf>
    <xf numFmtId="10" fontId="0" fillId="0" borderId="0" xfId="0" applyNumberFormat="1" applyAlignment="1"/>
    <xf numFmtId="10" fontId="13" fillId="0" borderId="0" xfId="0" applyNumberFormat="1" applyFont="1" applyAlignment="1"/>
    <xf numFmtId="0" fontId="14" fillId="2" borderId="9" xfId="0" applyFont="1" applyFill="1" applyBorder="1" applyAlignment="1" applyProtection="1">
      <alignment horizontal="center" vertical="center" wrapText="1"/>
    </xf>
    <xf numFmtId="0" fontId="0" fillId="0" borderId="0" xfId="0" applyFont="1" applyFill="1"/>
    <xf numFmtId="164" fontId="15" fillId="0" borderId="9" xfId="0" applyNumberFormat="1" applyFont="1" applyFill="1" applyBorder="1" applyAlignment="1" applyProtection="1">
      <alignment horizontal="center" vertical="center" wrapText="1"/>
    </xf>
    <xf numFmtId="0" fontId="1" fillId="0" borderId="0" xfId="0" applyFont="1" applyAlignment="1">
      <alignment horizontal="center"/>
    </xf>
    <xf numFmtId="168" fontId="0" fillId="0" borderId="0" xfId="0" applyNumberFormat="1" applyAlignment="1">
      <alignment horizontal="center"/>
    </xf>
    <xf numFmtId="1" fontId="2" fillId="0" borderId="9"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164" fontId="2" fillId="0" borderId="10" xfId="0" applyNumberFormat="1" applyFont="1" applyFill="1" applyBorder="1" applyAlignment="1" applyProtection="1">
      <alignment horizontal="center" vertical="center"/>
    </xf>
    <xf numFmtId="0" fontId="0" fillId="0" borderId="10" xfId="0" applyBorder="1" applyAlignment="1">
      <alignment horizontal="center"/>
    </xf>
    <xf numFmtId="10" fontId="1" fillId="0" borderId="0" xfId="0" applyNumberFormat="1" applyFont="1" applyAlignment="1">
      <alignment horizontal="center"/>
    </xf>
    <xf numFmtId="165" fontId="0" fillId="0" borderId="0" xfId="0" applyNumberFormat="1"/>
    <xf numFmtId="0" fontId="0" fillId="0" borderId="4" xfId="0" applyBorder="1"/>
    <xf numFmtId="0" fontId="10" fillId="0" borderId="9" xfId="0" applyFont="1" applyBorder="1"/>
    <xf numFmtId="0" fontId="0" fillId="0" borderId="9" xfId="0" applyBorder="1"/>
    <xf numFmtId="0" fontId="3" fillId="0" borderId="0" xfId="0" applyFont="1"/>
    <xf numFmtId="170" fontId="0" fillId="0" borderId="0" xfId="0" applyNumberFormat="1"/>
    <xf numFmtId="0" fontId="0" fillId="0" borderId="14" xfId="0" applyBorder="1"/>
    <xf numFmtId="1" fontId="0" fillId="0" borderId="8" xfId="0" applyNumberFormat="1" applyBorder="1"/>
    <xf numFmtId="165" fontId="0" fillId="0" borderId="0" xfId="0" applyNumberFormat="1" applyBorder="1"/>
    <xf numFmtId="0" fontId="0" fillId="0" borderId="9" xfId="0" applyFont="1" applyBorder="1" applyAlignment="1">
      <alignment horizontal="center"/>
    </xf>
    <xf numFmtId="1" fontId="0" fillId="0" borderId="9" xfId="0" applyNumberFormat="1" applyFont="1" applyBorder="1" applyAlignment="1">
      <alignment horizontal="center"/>
    </xf>
    <xf numFmtId="168" fontId="0" fillId="0" borderId="9" xfId="0" applyNumberFormat="1" applyFont="1" applyBorder="1" applyAlignment="1">
      <alignment horizontal="center"/>
    </xf>
    <xf numFmtId="0" fontId="0" fillId="0" borderId="9" xfId="0" applyFont="1" applyFill="1" applyBorder="1" applyAlignment="1">
      <alignment horizontal="center"/>
    </xf>
    <xf numFmtId="165" fontId="11" fillId="0" borderId="9" xfId="0" applyNumberFormat="1" applyFont="1" applyFill="1" applyBorder="1"/>
    <xf numFmtId="165" fontId="10" fillId="0" borderId="0" xfId="0" applyNumberFormat="1" applyFont="1" applyFill="1"/>
    <xf numFmtId="0" fontId="10" fillId="0" borderId="0" xfId="0" applyFont="1" applyFill="1"/>
    <xf numFmtId="0" fontId="0" fillId="0" borderId="9" xfId="0" applyFont="1" applyBorder="1"/>
    <xf numFmtId="10" fontId="0" fillId="0" borderId="9" xfId="4" applyNumberFormat="1" applyFont="1" applyBorder="1"/>
    <xf numFmtId="165" fontId="10" fillId="0" borderId="9" xfId="0" applyNumberFormat="1" applyFont="1" applyFill="1" applyBorder="1"/>
    <xf numFmtId="1" fontId="10" fillId="0" borderId="9" xfId="0" applyNumberFormat="1" applyFont="1" applyFill="1" applyBorder="1"/>
    <xf numFmtId="2" fontId="11" fillId="0" borderId="9" xfId="0" applyNumberFormat="1" applyFont="1" applyBorder="1"/>
    <xf numFmtId="2" fontId="10" fillId="0" borderId="9" xfId="0" applyNumberFormat="1" applyFont="1" applyBorder="1"/>
    <xf numFmtId="0" fontId="11" fillId="2" borderId="11" xfId="0" applyFont="1" applyFill="1" applyBorder="1" applyAlignment="1">
      <alignment wrapText="1"/>
    </xf>
    <xf numFmtId="0" fontId="10" fillId="2" borderId="12" xfId="0" applyFont="1" applyFill="1" applyBorder="1" applyAlignment="1">
      <alignment wrapText="1"/>
    </xf>
    <xf numFmtId="0" fontId="10" fillId="2" borderId="13" xfId="0" applyFont="1" applyFill="1" applyBorder="1" applyAlignment="1">
      <alignment wrapText="1"/>
    </xf>
    <xf numFmtId="0" fontId="0" fillId="0" borderId="0" xfId="0" applyAlignment="1">
      <alignment horizontal="left"/>
    </xf>
    <xf numFmtId="168" fontId="0" fillId="0" borderId="9" xfId="4" applyNumberFormat="1" applyFont="1" applyBorder="1"/>
    <xf numFmtId="49" fontId="1" fillId="0" borderId="0" xfId="0" applyNumberFormat="1" applyFont="1" applyFill="1"/>
    <xf numFmtId="0" fontId="12" fillId="2" borderId="9" xfId="0" applyFont="1" applyFill="1" applyBorder="1" applyAlignment="1">
      <alignment horizontal="center" vertical="center" wrapText="1"/>
    </xf>
    <xf numFmtId="0" fontId="12" fillId="2" borderId="9" xfId="0" applyFont="1" applyFill="1" applyBorder="1" applyAlignment="1">
      <alignment horizontal="center" vertical="center"/>
    </xf>
    <xf numFmtId="0" fontId="0" fillId="0" borderId="9" xfId="0" applyBorder="1" applyAlignment="1">
      <alignment horizontal="left" vertical="center" indent="2"/>
    </xf>
    <xf numFmtId="0" fontId="0" fillId="0" borderId="1" xfId="0" applyBorder="1"/>
    <xf numFmtId="0" fontId="0" fillId="0" borderId="2" xfId="0" applyBorder="1"/>
    <xf numFmtId="10" fontId="19" fillId="0" borderId="0" xfId="0" applyNumberFormat="1" applyFont="1" applyBorder="1" applyAlignment="1">
      <alignment horizontal="right" wrapText="1"/>
    </xf>
    <xf numFmtId="0" fontId="19" fillId="0" borderId="8" xfId="0" applyFont="1" applyBorder="1" applyAlignment="1">
      <alignment horizontal="right" wrapText="1"/>
    </xf>
    <xf numFmtId="10" fontId="19" fillId="0" borderId="6" xfId="0" applyNumberFormat="1" applyFont="1" applyBorder="1" applyAlignment="1">
      <alignment horizontal="right" wrapText="1"/>
    </xf>
    <xf numFmtId="0" fontId="19" fillId="0" borderId="7" xfId="0" applyFont="1" applyBorder="1" applyAlignment="1">
      <alignment horizontal="right" wrapText="1"/>
    </xf>
    <xf numFmtId="0" fontId="10" fillId="0" borderId="16" xfId="0" applyFont="1" applyBorder="1"/>
    <xf numFmtId="0" fontId="10" fillId="0" borderId="16" xfId="0" applyFont="1" applyBorder="1" applyAlignment="1">
      <alignment horizontal="left"/>
    </xf>
    <xf numFmtId="0" fontId="10" fillId="0" borderId="0" xfId="0" applyFont="1" applyAlignment="1">
      <alignment horizontal="center" vertical="center"/>
    </xf>
    <xf numFmtId="0" fontId="3" fillId="0" borderId="0" xfId="0" applyFont="1" applyAlignment="1"/>
    <xf numFmtId="0" fontId="10" fillId="0" borderId="0" xfId="0" applyFont="1" applyBorder="1" applyAlignment="1"/>
    <xf numFmtId="0" fontId="10" fillId="0" borderId="2" xfId="0" applyFont="1" applyBorder="1" applyAlignment="1"/>
    <xf numFmtId="0" fontId="11" fillId="4" borderId="15" xfId="0" applyFont="1" applyFill="1" applyBorder="1"/>
    <xf numFmtId="0" fontId="11" fillId="4" borderId="16" xfId="0" applyFont="1" applyFill="1" applyBorder="1"/>
    <xf numFmtId="0" fontId="11" fillId="4" borderId="23" xfId="0" applyFont="1" applyFill="1" applyBorder="1"/>
    <xf numFmtId="0" fontId="21" fillId="4" borderId="23" xfId="0" applyFont="1" applyFill="1" applyBorder="1" applyAlignment="1"/>
    <xf numFmtId="0" fontId="21" fillId="4" borderId="16" xfId="0" applyFont="1" applyFill="1" applyBorder="1" applyAlignment="1"/>
    <xf numFmtId="0" fontId="10" fillId="0" borderId="16" xfId="0" applyFont="1" applyBorder="1" applyAlignment="1">
      <alignment horizontal="center" vertical="center"/>
    </xf>
    <xf numFmtId="2" fontId="10" fillId="0" borderId="16" xfId="0" applyNumberFormat="1" applyFont="1" applyBorder="1"/>
    <xf numFmtId="0" fontId="21" fillId="0" borderId="0" xfId="0" applyFont="1" applyAlignment="1">
      <alignment horizontal="center" vertical="center"/>
    </xf>
    <xf numFmtId="0" fontId="22" fillId="0" borderId="0" xfId="0" applyFont="1" applyAlignment="1">
      <alignment horizontal="left"/>
    </xf>
    <xf numFmtId="0" fontId="3" fillId="0" borderId="0" xfId="0" applyFont="1" applyAlignment="1">
      <alignment horizontal="center" vertical="center"/>
    </xf>
    <xf numFmtId="0" fontId="22" fillId="0" borderId="0" xfId="0" applyFont="1" applyAlignment="1"/>
    <xf numFmtId="0" fontId="11" fillId="0" borderId="0" xfId="0" applyFont="1" applyAlignment="1">
      <alignment horizontal="left"/>
    </xf>
    <xf numFmtId="165" fontId="3" fillId="0" borderId="0" xfId="0" applyNumberFormat="1" applyFont="1"/>
    <xf numFmtId="0" fontId="3" fillId="0" borderId="0" xfId="0" applyFont="1" applyAlignment="1">
      <alignment horizontal="left"/>
    </xf>
    <xf numFmtId="0" fontId="11" fillId="0" borderId="0" xfId="0" applyFont="1" applyAlignment="1">
      <alignment horizont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21" fillId="0" borderId="0" xfId="0" applyFont="1"/>
    <xf numFmtId="0" fontId="21" fillId="0" borderId="0" xfId="0" applyFont="1" applyAlignment="1">
      <alignment horizontal="left"/>
    </xf>
    <xf numFmtId="0" fontId="10" fillId="0" borderId="2" xfId="0" applyFont="1" applyBorder="1"/>
    <xf numFmtId="0" fontId="10" fillId="0" borderId="4" xfId="0" applyFont="1" applyBorder="1"/>
    <xf numFmtId="0" fontId="23" fillId="0" borderId="0" xfId="0" applyFont="1" applyBorder="1" applyAlignment="1"/>
    <xf numFmtId="0" fontId="23" fillId="0" borderId="0" xfId="0" applyFont="1" applyBorder="1"/>
    <xf numFmtId="0" fontId="22" fillId="0" borderId="6" xfId="0" applyFont="1" applyBorder="1" applyAlignment="1"/>
    <xf numFmtId="0" fontId="10" fillId="0" borderId="6" xfId="0" applyFont="1" applyBorder="1"/>
    <xf numFmtId="0" fontId="3" fillId="0" borderId="0" xfId="0" applyFont="1" applyAlignment="1">
      <alignment wrapText="1"/>
    </xf>
    <xf numFmtId="0" fontId="11" fillId="0" borderId="0" xfId="0" applyFont="1" applyAlignment="1">
      <alignment wrapText="1"/>
    </xf>
    <xf numFmtId="0" fontId="11" fillId="0" borderId="0" xfId="0" applyFont="1" applyAlignment="1">
      <alignment horizontal="center" vertical="center" wrapText="1"/>
    </xf>
    <xf numFmtId="0" fontId="21" fillId="4" borderId="15" xfId="0" applyFont="1" applyFill="1" applyBorder="1" applyAlignment="1"/>
    <xf numFmtId="0" fontId="10" fillId="0" borderId="0" xfId="0" applyFont="1" applyAlignment="1"/>
    <xf numFmtId="0" fontId="10" fillId="0" borderId="16" xfId="0" applyFont="1" applyBorder="1" applyAlignment="1">
      <alignment wrapText="1"/>
    </xf>
    <xf numFmtId="0" fontId="10" fillId="0" borderId="0" xfId="0" applyFont="1" applyAlignment="1">
      <alignment wrapText="1"/>
    </xf>
    <xf numFmtId="0" fontId="11" fillId="0" borderId="21" xfId="0" applyFont="1" applyBorder="1" applyAlignment="1">
      <alignment horizontal="right" vertical="center"/>
    </xf>
    <xf numFmtId="0" fontId="11" fillId="4" borderId="15" xfId="0" applyFont="1" applyFill="1" applyBorder="1" applyAlignment="1">
      <alignment wrapText="1"/>
    </xf>
    <xf numFmtId="0" fontId="3" fillId="0" borderId="0" xfId="0" applyFont="1" applyBorder="1" applyAlignment="1"/>
    <xf numFmtId="0" fontId="3" fillId="0" borderId="0" xfId="0" applyFont="1" applyBorder="1"/>
    <xf numFmtId="0" fontId="10" fillId="0" borderId="8" xfId="0" applyFont="1" applyBorder="1" applyAlignment="1"/>
    <xf numFmtId="0" fontId="10" fillId="0" borderId="3" xfId="0" applyFont="1" applyBorder="1"/>
    <xf numFmtId="0" fontId="11" fillId="4" borderId="24" xfId="0" applyFont="1" applyFill="1" applyBorder="1"/>
    <xf numFmtId="0" fontId="10" fillId="0" borderId="3" xfId="0" applyFont="1" applyBorder="1" applyAlignment="1"/>
    <xf numFmtId="0" fontId="11" fillId="4" borderId="29" xfId="0" applyFont="1" applyFill="1" applyBorder="1"/>
    <xf numFmtId="0" fontId="10" fillId="0" borderId="7" xfId="0" applyFont="1" applyBorder="1"/>
    <xf numFmtId="0" fontId="10" fillId="0" borderId="0" xfId="0" applyFont="1" applyFill="1" applyBorder="1" applyAlignment="1"/>
    <xf numFmtId="0" fontId="3" fillId="0" borderId="0" xfId="0" applyFont="1" applyFill="1" applyBorder="1" applyAlignment="1">
      <alignment horizontal="right"/>
    </xf>
    <xf numFmtId="0" fontId="21" fillId="0" borderId="3" xfId="0" applyFont="1" applyBorder="1" applyAlignment="1">
      <alignment vertical="center"/>
    </xf>
    <xf numFmtId="0" fontId="21" fillId="0" borderId="5" xfId="0" applyFont="1" applyBorder="1" applyAlignment="1">
      <alignment vertical="center"/>
    </xf>
    <xf numFmtId="0" fontId="21" fillId="4" borderId="11" xfId="0" applyFont="1" applyFill="1" applyBorder="1" applyAlignment="1"/>
    <xf numFmtId="0" fontId="21" fillId="4" borderId="30" xfId="0" applyFont="1" applyFill="1" applyBorder="1" applyAlignment="1"/>
    <xf numFmtId="0" fontId="3" fillId="0" borderId="5" xfId="0" applyFont="1" applyBorder="1" applyAlignment="1"/>
    <xf numFmtId="0" fontId="11" fillId="0" borderId="0" xfId="0" applyFont="1" applyBorder="1" applyAlignment="1">
      <alignment vertical="center"/>
    </xf>
    <xf numFmtId="0" fontId="3" fillId="0" borderId="25" xfId="0" applyFont="1" applyBorder="1"/>
    <xf numFmtId="0" fontId="3" fillId="0" borderId="3" xfId="0" applyFont="1" applyBorder="1"/>
    <xf numFmtId="0" fontId="21" fillId="0" borderId="21" xfId="0" applyFont="1" applyBorder="1" applyAlignment="1">
      <alignment horizontal="right" vertical="center" wrapText="1"/>
    </xf>
    <xf numFmtId="0" fontId="21" fillId="4" borderId="1" xfId="0" applyFont="1" applyFill="1" applyBorder="1" applyAlignment="1"/>
    <xf numFmtId="2" fontId="10" fillId="0" borderId="6" xfId="0" applyNumberFormat="1" applyFont="1" applyBorder="1"/>
    <xf numFmtId="0" fontId="11" fillId="4" borderId="17" xfId="0" applyFont="1" applyFill="1" applyBorder="1" applyAlignment="1">
      <alignmen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7" xfId="0" applyFont="1" applyBorder="1" applyAlignment="1">
      <alignment vertical="center" wrapText="1"/>
    </xf>
    <xf numFmtId="0" fontId="10" fillId="0" borderId="0" xfId="0" applyFont="1" applyBorder="1" applyAlignment="1">
      <alignment vertical="center" wrapText="1"/>
    </xf>
    <xf numFmtId="0" fontId="10" fillId="0" borderId="0" xfId="0" applyFont="1" applyAlignment="1">
      <alignment vertical="center" wrapText="1"/>
    </xf>
    <xf numFmtId="0" fontId="11" fillId="4" borderId="28" xfId="0" applyFont="1" applyFill="1" applyBorder="1" applyAlignment="1">
      <alignment vertical="center" wrapText="1"/>
    </xf>
    <xf numFmtId="2" fontId="3" fillId="0" borderId="28" xfId="0" applyNumberFormat="1" applyFont="1" applyBorder="1" applyAlignment="1">
      <alignment vertical="center" wrapText="1"/>
    </xf>
    <xf numFmtId="0" fontId="11" fillId="4" borderId="27" xfId="0" applyFont="1" applyFill="1" applyBorder="1" applyAlignment="1">
      <alignment vertical="center" wrapText="1"/>
    </xf>
    <xf numFmtId="0" fontId="10" fillId="0" borderId="27" xfId="0" applyFont="1" applyBorder="1" applyAlignment="1">
      <alignment vertical="center" wrapText="1"/>
    </xf>
    <xf numFmtId="0" fontId="21" fillId="0" borderId="26" xfId="0" applyFont="1" applyBorder="1" applyAlignment="1">
      <alignment horizontal="lef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10" fillId="0" borderId="26" xfId="0" applyFont="1" applyBorder="1" applyAlignment="1">
      <alignment vertical="center" wrapText="1"/>
    </xf>
    <xf numFmtId="0" fontId="3" fillId="0" borderId="26" xfId="0" applyFont="1" applyBorder="1" applyAlignment="1">
      <alignment vertical="center" wrapText="1"/>
    </xf>
    <xf numFmtId="0" fontId="24" fillId="0" borderId="8" xfId="0" applyFont="1" applyBorder="1" applyAlignment="1">
      <alignment vertical="center" wrapText="1"/>
    </xf>
    <xf numFmtId="0" fontId="3" fillId="0" borderId="13" xfId="0" applyFont="1" applyBorder="1" applyAlignment="1">
      <alignment vertical="center" wrapText="1"/>
    </xf>
    <xf numFmtId="0" fontId="25" fillId="0" borderId="0" xfId="0" applyFont="1" applyAlignment="1">
      <alignment vertical="center" wrapText="1"/>
    </xf>
    <xf numFmtId="0" fontId="21" fillId="4" borderId="4" xfId="0" applyFont="1" applyFill="1" applyBorder="1" applyAlignment="1">
      <alignment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3" fillId="0" borderId="4" xfId="0" applyFont="1" applyBorder="1" applyAlignment="1">
      <alignment vertical="center" wrapText="1"/>
    </xf>
    <xf numFmtId="0" fontId="10" fillId="0" borderId="2" xfId="0" applyFont="1" applyBorder="1" applyAlignment="1">
      <alignment vertical="center" wrapText="1"/>
    </xf>
    <xf numFmtId="0" fontId="11" fillId="4" borderId="16" xfId="0" applyFont="1" applyFill="1" applyBorder="1" applyAlignment="1">
      <alignment vertical="center" wrapText="1"/>
    </xf>
    <xf numFmtId="0" fontId="3" fillId="0" borderId="0" xfId="0" applyFont="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vertical="center" wrapText="1"/>
    </xf>
    <xf numFmtId="0" fontId="10" fillId="0" borderId="16" xfId="0" applyFont="1" applyBorder="1" applyAlignment="1">
      <alignment vertical="center" wrapText="1"/>
    </xf>
    <xf numFmtId="0" fontId="21" fillId="0" borderId="0" xfId="0" applyFont="1" applyBorder="1" applyAlignment="1">
      <alignment vertical="center" wrapText="1"/>
    </xf>
    <xf numFmtId="0" fontId="11" fillId="4" borderId="18" xfId="0" applyFont="1" applyFill="1" applyBorder="1" applyAlignment="1">
      <alignment vertical="center" wrapText="1"/>
    </xf>
    <xf numFmtId="0" fontId="21" fillId="0" borderId="18" xfId="0" applyFont="1" applyBorder="1" applyAlignment="1">
      <alignment vertical="center" wrapText="1"/>
    </xf>
    <xf numFmtId="0" fontId="22" fillId="0" borderId="16" xfId="0" applyFont="1" applyBorder="1" applyAlignment="1">
      <alignment vertical="center" wrapText="1"/>
    </xf>
    <xf numFmtId="0" fontId="21" fillId="0" borderId="21" xfId="0" applyFont="1" applyBorder="1" applyAlignment="1">
      <alignment vertical="center" wrapText="1"/>
    </xf>
    <xf numFmtId="0" fontId="11" fillId="0" borderId="21" xfId="0" applyFont="1" applyBorder="1" applyAlignment="1">
      <alignment vertical="center" wrapText="1"/>
    </xf>
    <xf numFmtId="0" fontId="10" fillId="0" borderId="6" xfId="0" applyFont="1" applyBorder="1" applyAlignment="1">
      <alignment vertical="center" wrapText="1"/>
    </xf>
    <xf numFmtId="0" fontId="11" fillId="4" borderId="23" xfId="0" applyFont="1" applyFill="1" applyBorder="1" applyAlignment="1">
      <alignment vertical="center" wrapText="1"/>
    </xf>
    <xf numFmtId="0" fontId="21" fillId="0" borderId="6" xfId="0" applyFont="1" applyBorder="1" applyAlignment="1">
      <alignment vertical="center" wrapText="1"/>
    </xf>
    <xf numFmtId="0" fontId="3" fillId="0" borderId="21" xfId="0" applyFont="1" applyBorder="1" applyAlignment="1">
      <alignment vertical="center" wrapText="1"/>
    </xf>
    <xf numFmtId="0" fontId="21" fillId="4" borderId="2" xfId="0" applyFont="1" applyFill="1" applyBorder="1" applyAlignment="1">
      <alignment vertical="center" wrapText="1"/>
    </xf>
    <xf numFmtId="0" fontId="3" fillId="0" borderId="2" xfId="0" applyFont="1" applyBorder="1" applyAlignment="1">
      <alignment vertical="center" wrapText="1"/>
    </xf>
    <xf numFmtId="0" fontId="3" fillId="0" borderId="16" xfId="0" applyFont="1" applyBorder="1" applyAlignment="1">
      <alignment vertical="center" wrapText="1"/>
    </xf>
    <xf numFmtId="0" fontId="3" fillId="0" borderId="6" xfId="0" applyFont="1" applyBorder="1" applyAlignment="1">
      <alignment vertical="center" wrapText="1"/>
    </xf>
    <xf numFmtId="0" fontId="21" fillId="4" borderId="16" xfId="0" applyFont="1" applyFill="1" applyBorder="1" applyAlignment="1">
      <alignment vertical="center"/>
    </xf>
    <xf numFmtId="0" fontId="10" fillId="0" borderId="2" xfId="0" applyFont="1" applyBorder="1" applyAlignment="1">
      <alignment vertical="center"/>
    </xf>
    <xf numFmtId="165" fontId="10" fillId="0" borderId="0" xfId="0" applyNumberFormat="1" applyFont="1" applyBorder="1" applyAlignment="1">
      <alignment vertical="center"/>
    </xf>
    <xf numFmtId="0" fontId="10" fillId="0" borderId="0" xfId="0" applyFont="1" applyBorder="1" applyAlignment="1">
      <alignment vertical="center"/>
    </xf>
    <xf numFmtId="2" fontId="11" fillId="0" borderId="0" xfId="0" applyNumberFormat="1" applyFont="1" applyBorder="1" applyAlignment="1">
      <alignment vertical="center"/>
    </xf>
    <xf numFmtId="2" fontId="11" fillId="0" borderId="6" xfId="0" applyNumberFormat="1" applyFont="1" applyBorder="1" applyAlignment="1">
      <alignment vertical="center"/>
    </xf>
    <xf numFmtId="0" fontId="3" fillId="0" borderId="0" xfId="0" applyFont="1" applyBorder="1" applyAlignment="1">
      <alignment vertical="center"/>
    </xf>
    <xf numFmtId="0" fontId="10" fillId="0" borderId="16" xfId="0" applyFont="1" applyBorder="1" applyAlignment="1">
      <alignment vertical="center"/>
    </xf>
    <xf numFmtId="0" fontId="11" fillId="4" borderId="23" xfId="0" applyFont="1" applyFill="1" applyBorder="1" applyAlignment="1">
      <alignment vertical="center"/>
    </xf>
    <xf numFmtId="0" fontId="22" fillId="0" borderId="23" xfId="0" applyFont="1" applyBorder="1" applyAlignment="1">
      <alignment vertical="center"/>
    </xf>
    <xf numFmtId="0" fontId="22" fillId="0" borderId="16" xfId="0" applyFont="1" applyBorder="1" applyAlignment="1">
      <alignment vertical="center"/>
    </xf>
    <xf numFmtId="169" fontId="11" fillId="0" borderId="0" xfId="0" applyNumberFormat="1" applyFont="1" applyBorder="1" applyAlignment="1">
      <alignment vertical="center"/>
    </xf>
    <xf numFmtId="1" fontId="11" fillId="0" borderId="21" xfId="0" applyNumberFormat="1" applyFont="1" applyBorder="1" applyAlignment="1">
      <alignment horizontal="right" vertical="center"/>
    </xf>
    <xf numFmtId="9" fontId="22" fillId="0" borderId="0" xfId="0" applyNumberFormat="1" applyFont="1" applyBorder="1" applyAlignment="1">
      <alignment vertical="center"/>
    </xf>
    <xf numFmtId="165" fontId="11" fillId="0" borderId="21" xfId="0" applyNumberFormat="1" applyFont="1" applyBorder="1" applyAlignment="1">
      <alignment vertical="center"/>
    </xf>
    <xf numFmtId="0" fontId="10" fillId="0" borderId="6" xfId="0" applyFont="1" applyBorder="1" applyAlignment="1">
      <alignment vertical="center"/>
    </xf>
    <xf numFmtId="0" fontId="11" fillId="4" borderId="16" xfId="0" applyFont="1" applyFill="1" applyBorder="1" applyAlignment="1">
      <alignment vertical="center"/>
    </xf>
    <xf numFmtId="2" fontId="3" fillId="0" borderId="2" xfId="0" applyNumberFormat="1" applyFont="1" applyBorder="1" applyAlignment="1">
      <alignment vertical="center"/>
    </xf>
    <xf numFmtId="169" fontId="3" fillId="0" borderId="0" xfId="0" applyNumberFormat="1" applyFont="1" applyFill="1" applyBorder="1" applyAlignment="1">
      <alignment vertical="center"/>
    </xf>
    <xf numFmtId="0" fontId="21" fillId="0" borderId="6" xfId="0" applyFont="1" applyBorder="1" applyAlignment="1">
      <alignment vertical="center"/>
    </xf>
    <xf numFmtId="0" fontId="10" fillId="0" borderId="0" xfId="0" applyFont="1" applyAlignment="1">
      <alignment vertical="center"/>
    </xf>
    <xf numFmtId="0" fontId="21" fillId="4" borderId="16" xfId="0" applyFont="1" applyFill="1" applyBorder="1" applyAlignment="1">
      <alignment vertical="center" wrapText="1"/>
    </xf>
    <xf numFmtId="0" fontId="3" fillId="0" borderId="2" xfId="0" applyFont="1" applyBorder="1" applyAlignment="1">
      <alignment horizontal="right" vertical="center"/>
    </xf>
    <xf numFmtId="0" fontId="3" fillId="0" borderId="0" xfId="0" applyFont="1" applyBorder="1" applyAlignment="1">
      <alignment horizontal="right" vertical="center"/>
    </xf>
    <xf numFmtId="2" fontId="3" fillId="0" borderId="0" xfId="0" applyNumberFormat="1" applyFont="1" applyBorder="1" applyAlignment="1">
      <alignment horizontal="right" vertical="center"/>
    </xf>
    <xf numFmtId="165" fontId="21" fillId="0" borderId="0" xfId="0" applyNumberFormat="1" applyFont="1" applyBorder="1" applyAlignment="1">
      <alignment horizontal="right" vertical="center"/>
    </xf>
    <xf numFmtId="165" fontId="21" fillId="0" borderId="6" xfId="0" applyNumberFormat="1" applyFont="1" applyBorder="1" applyAlignment="1">
      <alignment horizontal="right" vertical="center"/>
    </xf>
    <xf numFmtId="0" fontId="3" fillId="0" borderId="21" xfId="0" applyFont="1" applyBorder="1" applyAlignment="1">
      <alignment horizontal="right" vertical="center"/>
    </xf>
    <xf numFmtId="0" fontId="3" fillId="0" borderId="16" xfId="0" applyFont="1" applyBorder="1" applyAlignment="1">
      <alignment vertical="center"/>
    </xf>
    <xf numFmtId="2" fontId="3" fillId="0" borderId="0" xfId="0" applyNumberFormat="1" applyFont="1" applyBorder="1" applyAlignment="1">
      <alignment vertical="center"/>
    </xf>
    <xf numFmtId="165" fontId="21" fillId="0" borderId="21" xfId="0" applyNumberFormat="1" applyFont="1" applyBorder="1" applyAlignment="1">
      <alignment vertical="center"/>
    </xf>
    <xf numFmtId="165" fontId="3" fillId="0" borderId="0" xfId="0" applyNumberFormat="1" applyFont="1" applyBorder="1" applyAlignment="1">
      <alignment vertical="center"/>
    </xf>
    <xf numFmtId="1" fontId="3" fillId="0" borderId="0" xfId="0" applyNumberFormat="1" applyFont="1" applyBorder="1" applyAlignment="1">
      <alignment vertical="center"/>
    </xf>
    <xf numFmtId="165" fontId="21" fillId="0" borderId="12" xfId="0" applyNumberFormat="1" applyFont="1" applyBorder="1" applyAlignment="1">
      <alignment horizontal="right" vertical="center"/>
    </xf>
    <xf numFmtId="168" fontId="10" fillId="0" borderId="2" xfId="4" applyNumberFormat="1" applyFont="1" applyFill="1" applyBorder="1" applyAlignment="1">
      <alignment vertical="center"/>
    </xf>
    <xf numFmtId="0" fontId="3" fillId="0" borderId="0" xfId="0" applyFont="1" applyFill="1" applyBorder="1" applyAlignment="1">
      <alignment horizontal="right" vertical="center"/>
    </xf>
    <xf numFmtId="2" fontId="21" fillId="0" borderId="6" xfId="0" applyNumberFormat="1" applyFont="1" applyFill="1" applyBorder="1" applyAlignment="1">
      <alignment horizontal="right" vertical="center"/>
    </xf>
    <xf numFmtId="0" fontId="3" fillId="0" borderId="16" xfId="0" applyFont="1" applyBorder="1" applyAlignment="1">
      <alignment horizontal="right" vertical="center"/>
    </xf>
    <xf numFmtId="165" fontId="21" fillId="0" borderId="21" xfId="0" applyNumberFormat="1" applyFont="1" applyBorder="1" applyAlignment="1">
      <alignment horizontal="right" vertical="center"/>
    </xf>
    <xf numFmtId="0" fontId="3" fillId="0" borderId="6" xfId="0" applyFont="1" applyBorder="1" applyAlignment="1">
      <alignment horizontal="right" vertical="center"/>
    </xf>
    <xf numFmtId="169" fontId="21" fillId="0" borderId="6" xfId="0" applyNumberFormat="1" applyFont="1" applyFill="1" applyBorder="1" applyAlignment="1">
      <alignment horizontal="right" vertical="center"/>
    </xf>
    <xf numFmtId="0" fontId="21" fillId="0" borderId="6" xfId="0" applyFont="1" applyBorder="1" applyAlignment="1">
      <alignment horizontal="right" vertical="center"/>
    </xf>
    <xf numFmtId="0" fontId="10" fillId="0" borderId="2" xfId="0" applyFont="1" applyFill="1" applyBorder="1" applyAlignment="1">
      <alignment horizontal="right" vertical="center"/>
    </xf>
    <xf numFmtId="0" fontId="10" fillId="0" borderId="0" xfId="0" applyFont="1" applyFill="1" applyBorder="1" applyAlignment="1">
      <alignment horizontal="right" vertical="center"/>
    </xf>
    <xf numFmtId="2" fontId="10" fillId="0" borderId="0" xfId="0" applyNumberFormat="1" applyFont="1" applyFill="1" applyBorder="1" applyAlignment="1">
      <alignment horizontal="right" vertical="center"/>
    </xf>
    <xf numFmtId="169" fontId="11" fillId="0" borderId="6" xfId="0" applyNumberFormat="1" applyFont="1" applyFill="1" applyBorder="1" applyAlignment="1">
      <alignment horizontal="right" vertical="center"/>
    </xf>
    <xf numFmtId="0" fontId="10" fillId="0" borderId="6" xfId="0" applyFont="1" applyBorder="1" applyAlignment="1">
      <alignment horizontal="right" vertical="center"/>
    </xf>
    <xf numFmtId="0" fontId="21" fillId="4" borderId="23" xfId="0" applyFont="1" applyFill="1" applyBorder="1" applyAlignment="1">
      <alignment vertical="center"/>
    </xf>
    <xf numFmtId="1" fontId="11" fillId="0" borderId="23" xfId="0" applyNumberFormat="1" applyFont="1" applyBorder="1" applyAlignment="1">
      <alignment vertical="center"/>
    </xf>
    <xf numFmtId="0" fontId="21" fillId="0" borderId="0" xfId="0" applyFont="1" applyBorder="1" applyAlignment="1">
      <alignment vertical="center"/>
    </xf>
    <xf numFmtId="1" fontId="10" fillId="0" borderId="16" xfId="0" applyNumberFormat="1" applyFont="1" applyBorder="1" applyAlignment="1">
      <alignment vertical="center"/>
    </xf>
    <xf numFmtId="10" fontId="10" fillId="0" borderId="2" xfId="0" applyNumberFormat="1" applyFont="1" applyBorder="1" applyAlignment="1">
      <alignment vertical="center"/>
    </xf>
    <xf numFmtId="10" fontId="10" fillId="0" borderId="0" xfId="0" applyNumberFormat="1" applyFont="1" applyBorder="1" applyAlignment="1">
      <alignment vertical="center"/>
    </xf>
    <xf numFmtId="10" fontId="10" fillId="0" borderId="6" xfId="0" applyNumberFormat="1" applyFont="1" applyBorder="1" applyAlignment="1">
      <alignment vertical="center"/>
    </xf>
    <xf numFmtId="169" fontId="10" fillId="0" borderId="0" xfId="0" applyNumberFormat="1" applyFont="1" applyBorder="1" applyAlignment="1">
      <alignment vertical="center"/>
    </xf>
    <xf numFmtId="0" fontId="11" fillId="0" borderId="21" xfId="0" applyFont="1" applyBorder="1" applyAlignment="1">
      <alignment vertical="center"/>
    </xf>
    <xf numFmtId="0" fontId="10" fillId="0" borderId="0" xfId="0" applyFont="1" applyFill="1" applyBorder="1" applyAlignment="1">
      <alignment vertical="center"/>
    </xf>
    <xf numFmtId="0" fontId="3" fillId="0" borderId="2" xfId="0" applyFont="1" applyBorder="1" applyAlignment="1">
      <alignment vertical="center"/>
    </xf>
    <xf numFmtId="0" fontId="3" fillId="0" borderId="21" xfId="0" applyFont="1" applyBorder="1" applyAlignment="1">
      <alignment vertical="center"/>
    </xf>
    <xf numFmtId="0" fontId="21" fillId="0" borderId="21" xfId="0" applyFont="1" applyBorder="1" applyAlignment="1">
      <alignment vertical="center"/>
    </xf>
    <xf numFmtId="165" fontId="11" fillId="0" borderId="12" xfId="0" applyNumberFormat="1" applyFont="1" applyBorder="1" applyAlignment="1">
      <alignment vertical="center"/>
    </xf>
    <xf numFmtId="165" fontId="11" fillId="0" borderId="6" xfId="0" applyNumberFormat="1" applyFont="1" applyBorder="1" applyAlignment="1">
      <alignment vertical="center"/>
    </xf>
    <xf numFmtId="0" fontId="10" fillId="0" borderId="2"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0" fillId="0" borderId="16" xfId="0" applyFont="1" applyBorder="1" applyAlignment="1">
      <alignment horizontal="left" vertical="center"/>
    </xf>
    <xf numFmtId="0" fontId="11" fillId="0" borderId="21" xfId="0" applyFont="1" applyBorder="1" applyAlignment="1">
      <alignment horizontal="left" vertical="center"/>
    </xf>
    <xf numFmtId="0" fontId="21" fillId="0" borderId="6" xfId="0" applyFont="1" applyBorder="1" applyAlignment="1">
      <alignment horizontal="left" vertical="center"/>
    </xf>
    <xf numFmtId="0" fontId="11" fillId="4" borderId="16" xfId="0" applyFont="1" applyFill="1" applyBorder="1" applyAlignment="1">
      <alignment horizontal="left" vertical="center"/>
    </xf>
    <xf numFmtId="0" fontId="11" fillId="4" borderId="16" xfId="0" applyFont="1" applyFill="1" applyBorder="1" applyAlignment="1">
      <alignment horizontal="left" vertical="center" wrapText="1"/>
    </xf>
    <xf numFmtId="2" fontId="11" fillId="0" borderId="0" xfId="0" applyNumberFormat="1" applyFont="1" applyBorder="1" applyAlignment="1">
      <alignment horizontal="left" vertical="center"/>
    </xf>
    <xf numFmtId="0" fontId="11" fillId="4" borderId="23" xfId="0" applyFont="1" applyFill="1" applyBorder="1" applyAlignment="1">
      <alignment horizontal="left" vertical="center"/>
    </xf>
    <xf numFmtId="0" fontId="21" fillId="0" borderId="23" xfId="0" applyFont="1" applyBorder="1" applyAlignment="1">
      <alignment horizontal="left" vertical="center"/>
    </xf>
    <xf numFmtId="0" fontId="11" fillId="4" borderId="17" xfId="0" applyFont="1" applyFill="1" applyBorder="1" applyAlignment="1">
      <alignment horizontal="left" vertical="center" wrapText="1"/>
    </xf>
    <xf numFmtId="0" fontId="3" fillId="0" borderId="0" xfId="0" applyFont="1" applyBorder="1" applyAlignment="1">
      <alignment horizontal="left" vertical="center"/>
    </xf>
    <xf numFmtId="0" fontId="21" fillId="0" borderId="21" xfId="0" applyFont="1" applyBorder="1" applyAlignment="1">
      <alignment horizontal="left" vertical="center"/>
    </xf>
    <xf numFmtId="0" fontId="10" fillId="0" borderId="0" xfId="0" applyFont="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16" xfId="0" applyFont="1" applyBorder="1" applyAlignment="1">
      <alignment horizontal="left" vertical="center"/>
    </xf>
    <xf numFmtId="0" fontId="11" fillId="0" borderId="12" xfId="0" applyFont="1" applyBorder="1" applyAlignment="1">
      <alignment horizontal="left" vertical="center"/>
    </xf>
    <xf numFmtId="0" fontId="21" fillId="4" borderId="2" xfId="0" applyFont="1" applyFill="1" applyBorder="1" applyAlignment="1">
      <alignment horizontal="left" vertical="center"/>
    </xf>
    <xf numFmtId="0" fontId="3" fillId="0" borderId="6" xfId="0" applyFont="1" applyBorder="1" applyAlignment="1">
      <alignment horizontal="left" vertical="center"/>
    </xf>
    <xf numFmtId="1" fontId="10" fillId="0" borderId="16" xfId="0" applyNumberFormat="1" applyFont="1" applyBorder="1" applyAlignment="1">
      <alignment vertical="center" wrapText="1"/>
    </xf>
    <xf numFmtId="1" fontId="10" fillId="0" borderId="27" xfId="0" applyNumberFormat="1" applyFont="1" applyBorder="1" applyAlignment="1">
      <alignment vertical="center" wrapText="1"/>
    </xf>
    <xf numFmtId="1" fontId="10" fillId="0" borderId="0" xfId="0" applyNumberFormat="1" applyFont="1" applyBorder="1" applyAlignment="1">
      <alignment vertical="center" wrapText="1"/>
    </xf>
    <xf numFmtId="1" fontId="10" fillId="0" borderId="8" xfId="0" applyNumberFormat="1" applyFont="1" applyBorder="1" applyAlignment="1">
      <alignment vertical="center" wrapText="1"/>
    </xf>
    <xf numFmtId="1" fontId="11" fillId="0" borderId="0" xfId="0" applyNumberFormat="1" applyFont="1" applyBorder="1" applyAlignment="1">
      <alignment vertical="center" wrapText="1"/>
    </xf>
    <xf numFmtId="0" fontId="22" fillId="0" borderId="23" xfId="0" applyFont="1" applyBorder="1" applyAlignment="1">
      <alignment vertical="center" wrapText="1"/>
    </xf>
    <xf numFmtId="0" fontId="10" fillId="0" borderId="21"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horizontal="left" vertical="center" wrapText="1"/>
    </xf>
    <xf numFmtId="0" fontId="26" fillId="0" borderId="0" xfId="0" applyFont="1" applyAlignment="1">
      <alignment vertical="top" wrapText="1"/>
    </xf>
    <xf numFmtId="0" fontId="11" fillId="4" borderId="28" xfId="0" applyFont="1" applyFill="1" applyBorder="1"/>
    <xf numFmtId="0" fontId="10" fillId="0" borderId="27" xfId="0" applyFont="1" applyBorder="1"/>
    <xf numFmtId="0" fontId="11" fillId="4" borderId="27" xfId="0" applyFont="1" applyFill="1" applyBorder="1"/>
    <xf numFmtId="0" fontId="10" fillId="0" borderId="4" xfId="0" applyFont="1" applyBorder="1" applyAlignment="1"/>
    <xf numFmtId="0" fontId="0" fillId="0" borderId="0" xfId="0" applyBorder="1"/>
    <xf numFmtId="0" fontId="10" fillId="0" borderId="0" xfId="0" applyFont="1" applyBorder="1"/>
    <xf numFmtId="165" fontId="10" fillId="0" borderId="0" xfId="0" applyNumberFormat="1" applyFont="1" applyBorder="1"/>
    <xf numFmtId="0" fontId="23" fillId="0" borderId="0" xfId="0" applyFont="1" applyBorder="1" applyAlignment="1">
      <alignment horizontal="center"/>
    </xf>
    <xf numFmtId="165" fontId="11" fillId="0" borderId="0" xfId="0" applyNumberFormat="1" applyFont="1" applyBorder="1"/>
    <xf numFmtId="0" fontId="11" fillId="0" borderId="2" xfId="0" applyFont="1" applyBorder="1"/>
    <xf numFmtId="165" fontId="10" fillId="0" borderId="2" xfId="0" applyNumberFormat="1" applyFont="1" applyBorder="1"/>
    <xf numFmtId="0" fontId="10" fillId="0" borderId="8" xfId="0" applyFont="1" applyBorder="1"/>
    <xf numFmtId="0" fontId="10" fillId="0" borderId="5" xfId="0" applyFont="1" applyBorder="1" applyAlignment="1"/>
    <xf numFmtId="0" fontId="10" fillId="0" borderId="6" xfId="0" applyFont="1" applyBorder="1" applyAlignment="1"/>
    <xf numFmtId="0" fontId="10" fillId="0" borderId="7" xfId="0" applyFont="1" applyBorder="1" applyAlignment="1"/>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22" fillId="0" borderId="4" xfId="0" applyFont="1" applyBorder="1"/>
    <xf numFmtId="169" fontId="10" fillId="0" borderId="0" xfId="0" applyNumberFormat="1" applyFont="1" applyBorder="1" applyAlignment="1"/>
    <xf numFmtId="169" fontId="10" fillId="0" borderId="2" xfId="0" applyNumberFormat="1" applyFont="1" applyBorder="1" applyAlignment="1"/>
    <xf numFmtId="2" fontId="10" fillId="0" borderId="6" xfId="0" applyNumberFormat="1" applyFont="1" applyBorder="1" applyAlignment="1"/>
    <xf numFmtId="165" fontId="11" fillId="0" borderId="0" xfId="0" applyNumberFormat="1" applyFont="1"/>
    <xf numFmtId="165" fontId="10" fillId="0" borderId="31" xfId="0" applyNumberFormat="1" applyFont="1" applyFill="1" applyBorder="1"/>
    <xf numFmtId="2" fontId="10" fillId="0" borderId="7" xfId="0" applyNumberFormat="1" applyFont="1" applyBorder="1"/>
    <xf numFmtId="1" fontId="10" fillId="0" borderId="14" xfId="0" applyNumberFormat="1" applyFont="1" applyFill="1" applyBorder="1"/>
    <xf numFmtId="0" fontId="10" fillId="0" borderId="12" xfId="0" applyFont="1" applyBorder="1"/>
    <xf numFmtId="2" fontId="10" fillId="0" borderId="13" xfId="0" applyNumberFormat="1" applyFont="1" applyBorder="1"/>
    <xf numFmtId="0" fontId="0" fillId="0" borderId="6" xfId="0" applyFont="1" applyBorder="1"/>
    <xf numFmtId="0" fontId="0" fillId="0" borderId="12" xfId="0" applyFont="1" applyBorder="1"/>
    <xf numFmtId="0" fontId="10" fillId="2" borderId="1" xfId="0" applyFont="1" applyFill="1" applyBorder="1"/>
    <xf numFmtId="0" fontId="10" fillId="2" borderId="2" xfId="0" applyFont="1" applyFill="1" applyBorder="1"/>
    <xf numFmtId="0" fontId="11" fillId="2" borderId="2" xfId="0" applyFont="1" applyFill="1" applyBorder="1"/>
    <xf numFmtId="0" fontId="11" fillId="2" borderId="4" xfId="0" applyFont="1" applyFill="1" applyBorder="1"/>
    <xf numFmtId="0" fontId="10" fillId="2" borderId="5" xfId="0" applyFont="1" applyFill="1" applyBorder="1"/>
    <xf numFmtId="0" fontId="10" fillId="2" borderId="6" xfId="0" applyFont="1" applyFill="1" applyBorder="1"/>
    <xf numFmtId="0" fontId="11" fillId="2" borderId="6" xfId="0" applyFont="1" applyFill="1" applyBorder="1"/>
    <xf numFmtId="0" fontId="11" fillId="2" borderId="7" xfId="0" applyFont="1" applyFill="1" applyBorder="1"/>
    <xf numFmtId="0" fontId="3" fillId="0" borderId="0" xfId="0" applyFont="1" applyBorder="1" applyAlignment="1">
      <alignment horizontal="center" vertical="center"/>
    </xf>
    <xf numFmtId="165" fontId="10" fillId="0" borderId="2" xfId="0" applyNumberFormat="1" applyFont="1" applyBorder="1" applyAlignment="1">
      <alignment horizontal="center" vertical="center"/>
    </xf>
    <xf numFmtId="1" fontId="10" fillId="0" borderId="2" xfId="0" applyNumberFormat="1" applyFont="1" applyBorder="1" applyAlignment="1">
      <alignment horizontal="center" vertical="center"/>
    </xf>
    <xf numFmtId="0" fontId="6" fillId="0" borderId="8" xfId="2" applyBorder="1" applyAlignment="1">
      <alignment horizontal="center" vertical="center" wrapText="1"/>
    </xf>
    <xf numFmtId="0" fontId="3" fillId="0" borderId="2" xfId="0" applyFont="1" applyFill="1" applyBorder="1" applyAlignment="1">
      <alignment horizontal="center" vertical="center"/>
    </xf>
    <xf numFmtId="165" fontId="10" fillId="0" borderId="0" xfId="0" applyNumberFormat="1" applyFont="1" applyBorder="1" applyAlignment="1">
      <alignment horizontal="center" vertical="center"/>
    </xf>
    <xf numFmtId="9" fontId="10" fillId="0" borderId="0" xfId="4" applyFont="1" applyBorder="1" applyAlignment="1">
      <alignment horizontal="center" vertical="center"/>
    </xf>
    <xf numFmtId="0" fontId="6" fillId="0" borderId="7" xfId="2" applyBorder="1" applyAlignment="1">
      <alignment horizontal="center" vertical="center" wrapText="1"/>
    </xf>
    <xf numFmtId="0" fontId="11" fillId="0" borderId="0" xfId="0" applyFont="1" applyBorder="1" applyAlignment="1">
      <alignment horizontal="center" vertical="center"/>
    </xf>
    <xf numFmtId="169" fontId="10" fillId="0" borderId="0" xfId="0" applyNumberFormat="1" applyFont="1" applyBorder="1" applyAlignment="1">
      <alignment horizontal="center" vertical="center"/>
    </xf>
    <xf numFmtId="165" fontId="10" fillId="0" borderId="9" xfId="0" applyNumberFormat="1" applyFont="1" applyBorder="1"/>
    <xf numFmtId="1" fontId="11" fillId="0" borderId="6" xfId="0" applyNumberFormat="1" applyFont="1" applyBorder="1" applyAlignment="1">
      <alignment horizontal="center" vertical="center"/>
    </xf>
    <xf numFmtId="0" fontId="10" fillId="0" borderId="6" xfId="0" applyFont="1" applyBorder="1" applyAlignment="1">
      <alignment horizontal="center" vertical="center"/>
    </xf>
    <xf numFmtId="2" fontId="10" fillId="0" borderId="2" xfId="0" applyNumberFormat="1" applyFont="1" applyBorder="1" applyAlignment="1">
      <alignment horizontal="center" vertical="center"/>
    </xf>
    <xf numFmtId="1" fontId="10" fillId="0" borderId="0" xfId="0" applyNumberFormat="1" applyFont="1" applyBorder="1" applyAlignment="1">
      <alignment horizontal="center" vertical="center"/>
    </xf>
    <xf numFmtId="0" fontId="22" fillId="0" borderId="0" xfId="0" applyFont="1" applyBorder="1" applyAlignment="1">
      <alignment horizontal="center" vertical="center"/>
    </xf>
    <xf numFmtId="1" fontId="3" fillId="0" borderId="0" xfId="0" applyNumberFormat="1" applyFont="1" applyBorder="1" applyAlignment="1">
      <alignment horizontal="center" vertical="center"/>
    </xf>
    <xf numFmtId="0" fontId="0" fillId="0" borderId="31" xfId="0" applyBorder="1"/>
    <xf numFmtId="0" fontId="0" fillId="7" borderId="1" xfId="0" applyFill="1" applyBorder="1"/>
    <xf numFmtId="0" fontId="0" fillId="7" borderId="2" xfId="0" applyFill="1" applyBorder="1"/>
    <xf numFmtId="0" fontId="1" fillId="7" borderId="2" xfId="0" applyFont="1" applyFill="1" applyBorder="1"/>
    <xf numFmtId="0" fontId="1" fillId="7" borderId="5" xfId="0" applyFont="1" applyFill="1" applyBorder="1"/>
    <xf numFmtId="0" fontId="1" fillId="7" borderId="6" xfId="0" applyFont="1" applyFill="1" applyBorder="1"/>
    <xf numFmtId="0" fontId="1" fillId="7" borderId="11" xfId="0" applyFont="1" applyFill="1" applyBorder="1"/>
    <xf numFmtId="0" fontId="1" fillId="7" borderId="12" xfId="0" applyFont="1" applyFill="1" applyBorder="1"/>
    <xf numFmtId="0" fontId="1" fillId="7" borderId="13" xfId="0" applyFont="1" applyFill="1" applyBorder="1" applyAlignment="1">
      <alignment wrapText="1"/>
    </xf>
    <xf numFmtId="10" fontId="0" fillId="0" borderId="8" xfId="4" applyNumberFormat="1" applyFont="1" applyBorder="1"/>
    <xf numFmtId="0" fontId="0" fillId="7" borderId="5" xfId="0" applyFill="1" applyBorder="1"/>
    <xf numFmtId="0" fontId="0" fillId="7" borderId="7" xfId="0" applyFill="1" applyBorder="1" applyAlignment="1">
      <alignment horizontal="center" wrapText="1"/>
    </xf>
    <xf numFmtId="0" fontId="0" fillId="0" borderId="32" xfId="0" applyBorder="1"/>
    <xf numFmtId="1" fontId="0" fillId="0" borderId="0" xfId="0" applyNumberFormat="1" applyBorder="1"/>
    <xf numFmtId="1" fontId="0" fillId="0" borderId="6" xfId="0" applyNumberFormat="1" applyBorder="1"/>
    <xf numFmtId="1" fontId="0" fillId="0" borderId="7" xfId="0" applyNumberFormat="1" applyBorder="1"/>
    <xf numFmtId="0" fontId="0" fillId="0" borderId="36" xfId="0" applyBorder="1"/>
    <xf numFmtId="0" fontId="0" fillId="0" borderId="35" xfId="0" applyBorder="1"/>
    <xf numFmtId="0" fontId="0" fillId="0" borderId="37" xfId="0" applyBorder="1"/>
    <xf numFmtId="0" fontId="0" fillId="0" borderId="41" xfId="0" applyBorder="1"/>
    <xf numFmtId="1" fontId="0" fillId="0" borderId="42" xfId="0" applyNumberFormat="1" applyBorder="1"/>
    <xf numFmtId="0" fontId="0" fillId="0" borderId="42" xfId="0" applyBorder="1"/>
    <xf numFmtId="0" fontId="0" fillId="0" borderId="39" xfId="0" applyBorder="1"/>
    <xf numFmtId="0" fontId="0" fillId="0" borderId="38" xfId="0" applyBorder="1"/>
    <xf numFmtId="0" fontId="0" fillId="0" borderId="40" xfId="0" applyBorder="1"/>
    <xf numFmtId="0" fontId="1" fillId="0" borderId="0" xfId="0" applyFont="1" applyBorder="1"/>
    <xf numFmtId="0" fontId="1" fillId="0" borderId="0" xfId="0" applyFont="1" applyBorder="1" applyAlignment="1"/>
    <xf numFmtId="1" fontId="0" fillId="0" borderId="39" xfId="0" applyNumberFormat="1" applyBorder="1"/>
    <xf numFmtId="0" fontId="0" fillId="0" borderId="6" xfId="0" applyBorder="1"/>
    <xf numFmtId="10" fontId="0" fillId="0" borderId="7" xfId="4" applyNumberFormat="1" applyFont="1" applyBorder="1"/>
    <xf numFmtId="1" fontId="0" fillId="0" borderId="2" xfId="0" applyNumberFormat="1" applyBorder="1"/>
    <xf numFmtId="1" fontId="0" fillId="0" borderId="4" xfId="0" applyNumberFormat="1" applyBorder="1"/>
    <xf numFmtId="0" fontId="3" fillId="0" borderId="2" xfId="0" applyFont="1" applyFill="1" applyBorder="1" applyAlignment="1">
      <alignment horizontal="center" vertical="center" wrapText="1"/>
    </xf>
    <xf numFmtId="1" fontId="0" fillId="0" borderId="1" xfId="0" applyNumberFormat="1" applyBorder="1"/>
    <xf numFmtId="1" fontId="0" fillId="0" borderId="3" xfId="0" applyNumberFormat="1" applyBorder="1"/>
    <xf numFmtId="1" fontId="0" fillId="0" borderId="5" xfId="0" applyNumberFormat="1" applyBorder="1"/>
    <xf numFmtId="168" fontId="0" fillId="0" borderId="8" xfId="0" applyNumberFormat="1" applyBorder="1"/>
    <xf numFmtId="0" fontId="2" fillId="0" borderId="6" xfId="0" applyFont="1" applyBorder="1" applyAlignment="1">
      <alignment horizontal="right" wrapText="1"/>
    </xf>
    <xf numFmtId="0" fontId="2" fillId="0" borderId="5" xfId="0" applyFont="1" applyBorder="1" applyAlignment="1">
      <alignment wrapText="1"/>
    </xf>
    <xf numFmtId="0" fontId="0" fillId="2" borderId="12" xfId="0" applyFill="1" applyBorder="1"/>
    <xf numFmtId="0" fontId="0" fillId="2" borderId="12" xfId="0" applyFill="1" applyBorder="1" applyAlignment="1">
      <alignment wrapText="1"/>
    </xf>
    <xf numFmtId="0" fontId="0" fillId="2" borderId="13" xfId="0" applyFill="1" applyBorder="1" applyAlignment="1">
      <alignment wrapText="1"/>
    </xf>
    <xf numFmtId="2" fontId="10" fillId="0" borderId="2" xfId="0" applyNumberFormat="1" applyFont="1" applyBorder="1"/>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3" fillId="0" borderId="27" xfId="0" applyFont="1" applyBorder="1" applyAlignment="1">
      <alignment vertical="center" wrapText="1"/>
    </xf>
    <xf numFmtId="0" fontId="22" fillId="0" borderId="26" xfId="0" applyFont="1" applyBorder="1" applyAlignment="1">
      <alignment vertical="center" wrapText="1"/>
    </xf>
    <xf numFmtId="0" fontId="21"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2" fontId="11" fillId="0" borderId="14" xfId="0" applyNumberFormat="1" applyFont="1" applyBorder="1"/>
    <xf numFmtId="0" fontId="1" fillId="7" borderId="13" xfId="0" applyFont="1" applyFill="1" applyBorder="1"/>
    <xf numFmtId="0" fontId="0" fillId="0" borderId="0" xfId="0"/>
    <xf numFmtId="0" fontId="26" fillId="0" borderId="8" xfId="0" applyFont="1" applyBorder="1" applyAlignment="1">
      <alignment horizontal="center"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wrapText="1"/>
    </xf>
    <xf numFmtId="2" fontId="11" fillId="0" borderId="0" xfId="0" applyNumberFormat="1" applyFont="1" applyBorder="1" applyAlignment="1">
      <alignment horizontal="center" vertical="center"/>
    </xf>
    <xf numFmtId="0" fontId="10" fillId="0" borderId="7" xfId="0" applyFont="1" applyBorder="1" applyAlignment="1">
      <alignment horizontal="center" vertical="center"/>
    </xf>
    <xf numFmtId="0" fontId="0" fillId="0" borderId="0" xfId="0" applyAlignment="1">
      <alignment horizontal="center" vertical="center"/>
    </xf>
    <xf numFmtId="165" fontId="11" fillId="0" borderId="0" xfId="0" applyNumberFormat="1" applyFont="1" applyBorder="1" applyAlignment="1">
      <alignment horizontal="center" vertical="center"/>
    </xf>
    <xf numFmtId="0" fontId="10" fillId="0" borderId="8"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2" fontId="11" fillId="0" borderId="0" xfId="4" applyNumberFormat="1" applyFont="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8" xfId="0" applyFont="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wrapText="1"/>
    </xf>
    <xf numFmtId="0" fontId="0" fillId="0" borderId="0" xfId="0" applyFill="1" applyAlignment="1">
      <alignment horizontal="center" vertical="center"/>
    </xf>
    <xf numFmtId="0" fontId="10" fillId="0" borderId="0" xfId="0" applyFont="1" applyFill="1" applyAlignment="1">
      <alignment horizontal="center" vertical="center"/>
    </xf>
    <xf numFmtId="0" fontId="23" fillId="0" borderId="0" xfId="0" applyFont="1" applyFill="1" applyAlignment="1">
      <alignment horizontal="center" vertical="center" wrapText="1"/>
    </xf>
    <xf numFmtId="0" fontId="22" fillId="0" borderId="0" xfId="0" applyFont="1" applyFill="1" applyAlignment="1">
      <alignment horizontal="center" vertical="center" wrapText="1"/>
    </xf>
    <xf numFmtId="0" fontId="29" fillId="0" borderId="0" xfId="0" applyFont="1" applyFill="1" applyAlignment="1">
      <alignment horizontal="center" vertical="center"/>
    </xf>
    <xf numFmtId="0" fontId="11" fillId="6" borderId="19" xfId="0" applyFont="1" applyFill="1" applyBorder="1" applyAlignment="1">
      <alignment horizontal="center" vertical="center"/>
    </xf>
    <xf numFmtId="0" fontId="11"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2" xfId="0" applyFont="1" applyFill="1" applyBorder="1" applyAlignment="1">
      <alignment horizontal="center" vertical="center"/>
    </xf>
    <xf numFmtId="0" fontId="21" fillId="6" borderId="12" xfId="0" applyFont="1" applyFill="1" applyBorder="1" applyAlignment="1">
      <alignment horizontal="center" vertical="center"/>
    </xf>
    <xf numFmtId="0" fontId="11" fillId="6" borderId="13" xfId="0" applyFont="1" applyFill="1"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wrapText="1"/>
    </xf>
    <xf numFmtId="9" fontId="19" fillId="0" borderId="2" xfId="4" applyFont="1" applyBorder="1" applyAlignment="1">
      <alignment horizontal="center" vertical="center"/>
    </xf>
    <xf numFmtId="0" fontId="19" fillId="0" borderId="0" xfId="0" applyFont="1" applyAlignment="1">
      <alignment horizontal="center" vertical="center"/>
    </xf>
    <xf numFmtId="0" fontId="28" fillId="0" borderId="8" xfId="0" applyFont="1" applyBorder="1" applyAlignment="1">
      <alignment horizontal="center" vertical="center" wrapText="1"/>
    </xf>
    <xf numFmtId="0" fontId="19" fillId="0" borderId="0" xfId="0" applyFont="1" applyBorder="1" applyAlignment="1">
      <alignment horizontal="center" vertical="center"/>
    </xf>
    <xf numFmtId="2" fontId="19" fillId="0" borderId="0" xfId="0" applyNumberFormat="1" applyFont="1" applyBorder="1" applyAlignment="1">
      <alignment horizontal="center" vertical="center"/>
    </xf>
    <xf numFmtId="0" fontId="22" fillId="0" borderId="6" xfId="0" applyFont="1" applyBorder="1" applyAlignment="1">
      <alignment horizontal="center" vertical="center"/>
    </xf>
    <xf numFmtId="2" fontId="10" fillId="0" borderId="6" xfId="0" applyNumberFormat="1" applyFont="1" applyBorder="1" applyAlignment="1">
      <alignment horizontal="center" vertical="center"/>
    </xf>
    <xf numFmtId="2" fontId="10" fillId="0" borderId="0" xfId="0" applyNumberFormat="1" applyFont="1" applyBorder="1" applyAlignment="1">
      <alignment horizontal="center" vertical="center"/>
    </xf>
    <xf numFmtId="165" fontId="0" fillId="0" borderId="0" xfId="0" applyNumberFormat="1" applyAlignment="1">
      <alignment horizontal="center" vertical="center"/>
    </xf>
    <xf numFmtId="2" fontId="35" fillId="0" borderId="0" xfId="0" applyNumberFormat="1" applyFont="1" applyBorder="1" applyAlignment="1">
      <alignment horizontal="center" vertical="center"/>
    </xf>
    <xf numFmtId="0" fontId="35" fillId="0" borderId="0" xfId="0" applyFont="1" applyBorder="1" applyAlignment="1">
      <alignment horizontal="center" vertical="center"/>
    </xf>
    <xf numFmtId="0" fontId="11" fillId="6" borderId="15" xfId="0" applyFont="1" applyFill="1" applyBorder="1" applyAlignment="1">
      <alignment horizontal="center" vertical="center"/>
    </xf>
    <xf numFmtId="0" fontId="11" fillId="6" borderId="16" xfId="0" applyFont="1" applyFill="1" applyBorder="1" applyAlignment="1">
      <alignment horizontal="center" vertical="center"/>
    </xf>
    <xf numFmtId="0" fontId="21" fillId="6" borderId="16" xfId="0" applyFont="1" applyFill="1" applyBorder="1" applyAlignment="1">
      <alignment horizontal="center" vertical="center"/>
    </xf>
    <xf numFmtId="0" fontId="11" fillId="6" borderId="27" xfId="0" applyFont="1" applyFill="1" applyBorder="1" applyAlignment="1">
      <alignment horizontal="center" vertical="center"/>
    </xf>
    <xf numFmtId="9" fontId="19" fillId="0" borderId="0" xfId="4" applyFont="1" applyBorder="1" applyAlignment="1">
      <alignment horizontal="center" vertical="center"/>
    </xf>
    <xf numFmtId="165" fontId="11" fillId="0" borderId="6" xfId="0" applyNumberFormat="1" applyFont="1" applyBorder="1" applyAlignment="1">
      <alignment horizontal="center" vertical="center"/>
    </xf>
    <xf numFmtId="2" fontId="35" fillId="0" borderId="6" xfId="0" applyNumberFormat="1" applyFont="1" applyBorder="1" applyAlignment="1">
      <alignment horizontal="center" vertical="center"/>
    </xf>
    <xf numFmtId="0" fontId="35" fillId="0" borderId="6" xfId="0" applyFont="1" applyBorder="1" applyAlignment="1">
      <alignment horizontal="center" vertical="center"/>
    </xf>
    <xf numFmtId="2" fontId="35" fillId="0" borderId="0" xfId="0" applyNumberFormat="1" applyFont="1" applyAlignment="1">
      <alignment horizontal="center" vertical="center"/>
    </xf>
    <xf numFmtId="0" fontId="35" fillId="0" borderId="0" xfId="0" applyFont="1" applyAlignment="1">
      <alignment horizontal="center" vertical="center"/>
    </xf>
    <xf numFmtId="0" fontId="19" fillId="0" borderId="2" xfId="0" applyFont="1" applyBorder="1" applyAlignment="1">
      <alignment horizontal="center" vertical="center"/>
    </xf>
    <xf numFmtId="0" fontId="10" fillId="0" borderId="8" xfId="0" applyFont="1" applyBorder="1" applyAlignment="1">
      <alignment horizontal="left" vertical="center" wrapText="1"/>
    </xf>
    <xf numFmtId="0" fontId="11" fillId="0" borderId="6" xfId="0" applyFont="1" applyBorder="1" applyAlignment="1">
      <alignment horizontal="center" vertical="center"/>
    </xf>
    <xf numFmtId="166" fontId="0" fillId="0" borderId="0" xfId="0" applyNumberFormat="1" applyAlignment="1">
      <alignment horizontal="center" vertical="center"/>
    </xf>
    <xf numFmtId="0" fontId="0" fillId="0" borderId="0" xfId="0"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left" vertical="center" wrapText="1"/>
    </xf>
    <xf numFmtId="0" fontId="10" fillId="0" borderId="0" xfId="0" applyFont="1" applyFill="1" applyBorder="1" applyAlignment="1">
      <alignment horizontal="center" vertical="center"/>
    </xf>
    <xf numFmtId="9" fontId="3"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3" fillId="0" borderId="0" xfId="0" applyFont="1" applyAlignment="1">
      <alignment horizontal="center" vertical="center"/>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4" xfId="0" applyFont="1" applyFill="1" applyBorder="1" applyAlignment="1">
      <alignment horizontal="center" vertical="center"/>
    </xf>
    <xf numFmtId="0" fontId="11"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10" fillId="0" borderId="6" xfId="0" applyFont="1" applyFill="1" applyBorder="1" applyAlignment="1">
      <alignment horizontal="center" vertical="center" wrapText="1"/>
    </xf>
    <xf numFmtId="0" fontId="1" fillId="0" borderId="0" xfId="0" applyFont="1"/>
    <xf numFmtId="0" fontId="6" fillId="0" borderId="0" xfId="2"/>
    <xf numFmtId="0" fontId="20" fillId="0" borderId="0" xfId="2" applyFont="1"/>
    <xf numFmtId="0" fontId="0" fillId="0" borderId="0" xfId="0" applyFont="1" applyAlignment="1"/>
    <xf numFmtId="0" fontId="19" fillId="0" borderId="0" xfId="0" applyFont="1" applyAlignment="1"/>
    <xf numFmtId="0" fontId="19" fillId="0" borderId="45" xfId="0" applyFont="1" applyBorder="1" applyAlignment="1"/>
    <xf numFmtId="0" fontId="7" fillId="4" borderId="15" xfId="0" applyFont="1" applyFill="1" applyBorder="1" applyAlignment="1">
      <alignment horizontal="left" wrapText="1"/>
    </xf>
    <xf numFmtId="0" fontId="7" fillId="4" borderId="16" xfId="0" applyFont="1" applyFill="1" applyBorder="1" applyAlignment="1">
      <alignment horizontal="left" wrapText="1"/>
    </xf>
    <xf numFmtId="0" fontId="37" fillId="4" borderId="16" xfId="0" applyFont="1" applyFill="1" applyBorder="1" applyAlignment="1">
      <alignment horizontal="left" wrapText="1"/>
    </xf>
    <xf numFmtId="0" fontId="37" fillId="4" borderId="47" xfId="0" applyFont="1" applyFill="1" applyBorder="1" applyAlignment="1">
      <alignment horizontal="left" wrapText="1"/>
    </xf>
    <xf numFmtId="0" fontId="37" fillId="4" borderId="17" xfId="0" applyFont="1" applyFill="1" applyBorder="1" applyAlignment="1">
      <alignment horizontal="left" wrapText="1"/>
    </xf>
    <xf numFmtId="0" fontId="19" fillId="0" borderId="0" xfId="0" applyFont="1" applyAlignment="1">
      <alignment horizontal="left"/>
    </xf>
    <xf numFmtId="0" fontId="38" fillId="4" borderId="43" xfId="0" applyFont="1" applyFill="1" applyBorder="1" applyAlignment="1">
      <alignment horizontal="left"/>
    </xf>
    <xf numFmtId="0" fontId="2" fillId="0" borderId="15" xfId="0" applyFont="1" applyBorder="1" applyAlignment="1"/>
    <xf numFmtId="0" fontId="2" fillId="0" borderId="16" xfId="0" applyFont="1" applyBorder="1" applyAlignment="1"/>
    <xf numFmtId="1" fontId="2" fillId="0" borderId="16" xfId="0" applyNumberFormat="1" applyFont="1" applyBorder="1" applyAlignment="1"/>
    <xf numFmtId="10" fontId="2" fillId="0" borderId="16" xfId="0" applyNumberFormat="1" applyFont="1" applyBorder="1" applyAlignment="1">
      <alignment horizontal="right"/>
    </xf>
    <xf numFmtId="171" fontId="2" fillId="0" borderId="16" xfId="0" applyNumberFormat="1" applyFont="1" applyBorder="1" applyAlignment="1">
      <alignment horizontal="right"/>
    </xf>
    <xf numFmtId="171" fontId="4" fillId="0" borderId="16" xfId="0" applyNumberFormat="1" applyFont="1" applyBorder="1" applyAlignment="1"/>
    <xf numFmtId="0" fontId="19" fillId="0" borderId="16" xfId="0" applyFont="1" applyBorder="1"/>
    <xf numFmtId="10" fontId="19" fillId="0" borderId="47" xfId="0" applyNumberFormat="1" applyFont="1" applyBorder="1"/>
    <xf numFmtId="10" fontId="19" fillId="0" borderId="17" xfId="0" applyNumberFormat="1" applyFont="1" applyBorder="1"/>
    <xf numFmtId="9" fontId="39" fillId="0" borderId="43" xfId="0" applyNumberFormat="1" applyFont="1" applyBorder="1"/>
    <xf numFmtId="0" fontId="37" fillId="0" borderId="0" xfId="0" applyFont="1" applyAlignment="1"/>
    <xf numFmtId="0" fontId="2" fillId="0" borderId="19" xfId="0" applyFont="1" applyBorder="1" applyAlignment="1"/>
    <xf numFmtId="0" fontId="2" fillId="0" borderId="0" xfId="0" applyFont="1" applyAlignment="1"/>
    <xf numFmtId="1" fontId="2" fillId="0" borderId="0" xfId="0" applyNumberFormat="1" applyFont="1" applyAlignment="1"/>
    <xf numFmtId="10" fontId="2" fillId="0" borderId="0" xfId="0" applyNumberFormat="1" applyFont="1" applyAlignment="1">
      <alignment horizontal="right"/>
    </xf>
    <xf numFmtId="171" fontId="2" fillId="0" borderId="0" xfId="0" applyNumberFormat="1" applyFont="1" applyAlignment="1">
      <alignment horizontal="right"/>
    </xf>
    <xf numFmtId="171" fontId="4" fillId="0" borderId="0" xfId="0" applyNumberFormat="1" applyFont="1" applyAlignment="1"/>
    <xf numFmtId="10" fontId="19" fillId="0" borderId="48" xfId="0" applyNumberFormat="1" applyFont="1" applyBorder="1"/>
    <xf numFmtId="10" fontId="19" fillId="0" borderId="49" xfId="0" applyNumberFormat="1" applyFont="1" applyBorder="1"/>
    <xf numFmtId="9" fontId="39" fillId="0" borderId="50" xfId="0" applyNumberFormat="1" applyFont="1" applyBorder="1"/>
    <xf numFmtId="0" fontId="2" fillId="0" borderId="20" xfId="0" applyFont="1" applyBorder="1" applyAlignment="1"/>
    <xf numFmtId="0" fontId="2" fillId="0" borderId="21" xfId="0" applyFont="1" applyBorder="1" applyAlignment="1"/>
    <xf numFmtId="1" fontId="2" fillId="0" borderId="21" xfId="0" applyNumberFormat="1" applyFont="1" applyBorder="1" applyAlignment="1"/>
    <xf numFmtId="10" fontId="2" fillId="0" borderId="21" xfId="0" applyNumberFormat="1" applyFont="1" applyBorder="1" applyAlignment="1">
      <alignment horizontal="right"/>
    </xf>
    <xf numFmtId="10" fontId="2" fillId="0" borderId="21" xfId="0" applyNumberFormat="1" applyFont="1" applyBorder="1" applyAlignment="1"/>
    <xf numFmtId="171" fontId="2" fillId="0" borderId="21" xfId="0" applyNumberFormat="1" applyFont="1" applyBorder="1" applyAlignment="1">
      <alignment horizontal="right"/>
    </xf>
    <xf numFmtId="171" fontId="4" fillId="0" borderId="21" xfId="0" applyNumberFormat="1" applyFont="1" applyBorder="1" applyAlignment="1"/>
    <xf numFmtId="0" fontId="19" fillId="0" borderId="21" xfId="0" applyFont="1" applyBorder="1"/>
    <xf numFmtId="10" fontId="19" fillId="0" borderId="51" xfId="0" applyNumberFormat="1" applyFont="1" applyBorder="1"/>
    <xf numFmtId="10" fontId="19" fillId="0" borderId="22" xfId="0" applyNumberFormat="1" applyFont="1" applyBorder="1"/>
    <xf numFmtId="9" fontId="39" fillId="0" borderId="46" xfId="0" applyNumberFormat="1" applyFont="1" applyBorder="1"/>
    <xf numFmtId="0" fontId="40" fillId="0" borderId="0" xfId="0" applyFont="1" applyAlignment="1"/>
    <xf numFmtId="11" fontId="3" fillId="0" borderId="0" xfId="0" applyNumberFormat="1" applyFont="1" applyAlignment="1"/>
    <xf numFmtId="0" fontId="0" fillId="0" borderId="8" xfId="0" applyBorder="1"/>
    <xf numFmtId="0" fontId="0" fillId="0" borderId="8" xfId="0" applyBorder="1" applyAlignment="1">
      <alignment wrapText="1"/>
    </xf>
    <xf numFmtId="0" fontId="10" fillId="0" borderId="0" xfId="0" applyFont="1" applyBorder="1" applyAlignment="1">
      <alignment horizontal="center" vertical="center"/>
    </xf>
    <xf numFmtId="0" fontId="3" fillId="0" borderId="2" xfId="0" applyFont="1" applyBorder="1" applyAlignment="1">
      <alignment horizontal="center" vertical="center" wrapText="1"/>
    </xf>
    <xf numFmtId="0" fontId="11" fillId="10" borderId="34" xfId="0" applyFont="1" applyFill="1" applyBorder="1" applyAlignment="1">
      <alignment horizontal="center" vertical="center"/>
    </xf>
    <xf numFmtId="0" fontId="11" fillId="10" borderId="33" xfId="0" applyFont="1" applyFill="1" applyBorder="1" applyAlignment="1">
      <alignment horizontal="center" vertical="center"/>
    </xf>
    <xf numFmtId="0" fontId="21" fillId="10" borderId="33" xfId="0" applyFont="1" applyFill="1" applyBorder="1" applyAlignment="1">
      <alignment horizontal="center" vertical="center"/>
    </xf>
    <xf numFmtId="0" fontId="11" fillId="10" borderId="52" xfId="0" applyFont="1" applyFill="1" applyBorder="1" applyAlignment="1">
      <alignment horizontal="center" vertical="center"/>
    </xf>
    <xf numFmtId="0" fontId="34" fillId="10" borderId="34" xfId="0" applyFont="1" applyFill="1" applyBorder="1" applyAlignment="1">
      <alignment horizontal="center" vertical="center"/>
    </xf>
    <xf numFmtId="0" fontId="34" fillId="10" borderId="33" xfId="0" applyFont="1" applyFill="1" applyBorder="1" applyAlignment="1">
      <alignment horizontal="center" vertical="center"/>
    </xf>
    <xf numFmtId="0" fontId="33" fillId="10" borderId="33" xfId="0" applyFont="1" applyFill="1" applyBorder="1" applyAlignment="1">
      <alignment horizontal="center" vertical="center"/>
    </xf>
    <xf numFmtId="0" fontId="34" fillId="10" borderId="52" xfId="0" applyFont="1" applyFill="1" applyBorder="1" applyAlignment="1">
      <alignment horizontal="center" vertical="center"/>
    </xf>
    <xf numFmtId="0" fontId="10" fillId="0" borderId="2" xfId="0" applyFont="1" applyBorder="1" applyAlignment="1">
      <alignment horizontal="center"/>
    </xf>
    <xf numFmtId="0" fontId="10" fillId="0" borderId="0" xfId="0" applyFont="1" applyBorder="1" applyAlignment="1">
      <alignment horizontal="center"/>
    </xf>
    <xf numFmtId="165" fontId="10" fillId="0" borderId="2" xfId="0" applyNumberFormat="1" applyFont="1" applyBorder="1" applyAlignment="1">
      <alignment vertical="center"/>
    </xf>
    <xf numFmtId="2" fontId="21" fillId="0" borderId="6" xfId="0" applyNumberFormat="1" applyFont="1" applyBorder="1" applyAlignment="1">
      <alignment vertical="center"/>
    </xf>
    <xf numFmtId="168" fontId="2" fillId="0" borderId="7" xfId="0" applyNumberFormat="1" applyFont="1" applyBorder="1" applyAlignment="1">
      <alignment horizontal="right" wrapText="1"/>
    </xf>
    <xf numFmtId="165" fontId="2" fillId="0" borderId="6" xfId="0" applyNumberFormat="1" applyFont="1" applyBorder="1" applyAlignment="1">
      <alignment horizontal="right" wrapText="1"/>
    </xf>
    <xf numFmtId="1" fontId="2" fillId="0" borderId="6" xfId="0" applyNumberFormat="1" applyFont="1" applyBorder="1" applyAlignment="1">
      <alignment horizontal="right" wrapText="1"/>
    </xf>
    <xf numFmtId="168" fontId="0" fillId="0" borderId="9" xfId="0" applyNumberFormat="1" applyBorder="1"/>
    <xf numFmtId="0" fontId="42" fillId="0" borderId="0" xfId="0" applyFont="1"/>
    <xf numFmtId="0" fontId="7" fillId="2" borderId="11"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19" fillId="5" borderId="11" xfId="0" applyFont="1" applyFill="1" applyBorder="1" applyAlignment="1">
      <alignment horizontal="center"/>
    </xf>
    <xf numFmtId="0" fontId="19" fillId="5" borderId="12" xfId="0" applyFont="1" applyFill="1" applyBorder="1" applyAlignment="1">
      <alignment horizontal="center"/>
    </xf>
    <xf numFmtId="0" fontId="19" fillId="5" borderId="13" xfId="0" applyFont="1" applyFill="1" applyBorder="1" applyAlignment="1">
      <alignment horizont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0" borderId="11" xfId="0" applyFont="1" applyBorder="1" applyAlignment="1">
      <alignment horizontal="center"/>
    </xf>
    <xf numFmtId="0" fontId="11" fillId="0" borderId="12" xfId="0" applyFont="1" applyBorder="1" applyAlignment="1">
      <alignment horizont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4" xfId="0" applyFont="1" applyBorder="1" applyAlignment="1">
      <alignment horizontal="center" vertical="center" wrapText="1"/>
    </xf>
    <xf numFmtId="0" fontId="2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19" xfId="0" applyFont="1" applyBorder="1" applyAlignment="1">
      <alignment horizontal="center" vertical="center"/>
    </xf>
    <xf numFmtId="0" fontId="23" fillId="0" borderId="3" xfId="0" applyFont="1" applyBorder="1"/>
    <xf numFmtId="0" fontId="23" fillId="0" borderId="5" xfId="0" applyFont="1" applyBorder="1"/>
    <xf numFmtId="0" fontId="21" fillId="0" borderId="24" xfId="0" applyFont="1" applyBorder="1" applyAlignment="1">
      <alignment horizontal="center" vertical="center" wrapText="1"/>
    </xf>
    <xf numFmtId="0" fontId="23" fillId="0" borderId="25" xfId="0" applyFont="1" applyBorder="1"/>
    <xf numFmtId="0" fontId="21" fillId="0" borderId="24" xfId="0" applyFont="1" applyBorder="1" applyAlignment="1">
      <alignment horizontal="center" vertical="center"/>
    </xf>
    <xf numFmtId="0" fontId="3" fillId="0" borderId="27" xfId="0" applyFont="1" applyBorder="1" applyAlignment="1">
      <alignment vertical="center" wrapText="1"/>
    </xf>
    <xf numFmtId="0" fontId="22" fillId="0" borderId="8" xfId="0" applyFont="1" applyBorder="1" applyAlignment="1">
      <alignment vertical="center" wrapText="1"/>
    </xf>
    <xf numFmtId="0" fontId="22" fillId="0" borderId="26" xfId="0" applyFont="1" applyBorder="1" applyAlignment="1">
      <alignment vertical="center" wrapText="1"/>
    </xf>
    <xf numFmtId="0" fontId="22" fillId="0" borderId="3" xfId="0" applyFont="1" applyBorder="1"/>
    <xf numFmtId="0" fontId="22" fillId="0" borderId="5" xfId="0" applyFont="1" applyBorder="1"/>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1" fillId="4" borderId="23" xfId="0" applyFont="1" applyFill="1" applyBorder="1" applyAlignment="1">
      <alignment horizontal="center" vertical="center" wrapText="1"/>
    </xf>
    <xf numFmtId="0" fontId="21" fillId="0" borderId="1" xfId="0" applyFont="1" applyBorder="1" applyAlignment="1">
      <alignment horizont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7" xfId="0" applyFont="1" applyBorder="1" applyAlignment="1">
      <alignment horizontal="left" vertical="top" wrapText="1"/>
    </xf>
    <xf numFmtId="0" fontId="10" fillId="0" borderId="27" xfId="0" applyFont="1" applyBorder="1" applyAlignment="1">
      <alignment horizontal="left" vertical="top" wrapText="1"/>
    </xf>
    <xf numFmtId="0" fontId="10" fillId="0" borderId="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0" xfId="0" applyFont="1" applyBorder="1" applyAlignment="1">
      <alignment horizontal="center" vertical="center" wrapText="1"/>
    </xf>
    <xf numFmtId="0" fontId="21" fillId="0" borderId="21" xfId="0" applyFont="1" applyBorder="1" applyAlignment="1">
      <alignment horizontal="center" vertical="center" wrapText="1"/>
    </xf>
    <xf numFmtId="10" fontId="10" fillId="0" borderId="2" xfId="0" applyNumberFormat="1" applyFont="1" applyBorder="1" applyAlignment="1">
      <alignment horizontal="left" vertical="center"/>
    </xf>
    <xf numFmtId="0" fontId="22" fillId="0" borderId="0" xfId="0" applyFont="1" applyBorder="1" applyAlignment="1">
      <alignment horizontal="left" vertical="center"/>
    </xf>
    <xf numFmtId="0" fontId="22" fillId="0" borderId="6" xfId="0" applyFont="1" applyBorder="1" applyAlignment="1">
      <alignment horizontal="left" vertical="center"/>
    </xf>
    <xf numFmtId="0" fontId="11" fillId="4" borderId="34"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2" xfId="0" applyFont="1" applyBorder="1" applyAlignment="1">
      <alignment horizontal="center" vertical="center" wrapText="1"/>
    </xf>
    <xf numFmtId="0" fontId="21" fillId="4" borderId="12" xfId="0" applyFont="1" applyFill="1" applyBorder="1" applyAlignment="1">
      <alignment horizontal="center" vertical="center" wrapText="1"/>
    </xf>
    <xf numFmtId="0" fontId="0" fillId="7" borderId="1" xfId="0" applyFill="1" applyBorder="1" applyAlignment="1">
      <alignment horizontal="center"/>
    </xf>
    <xf numFmtId="0" fontId="0" fillId="7" borderId="2" xfId="0" applyFill="1" applyBorder="1" applyAlignment="1">
      <alignment horizontal="center"/>
    </xf>
    <xf numFmtId="0" fontId="0" fillId="7" borderId="4" xfId="0" applyFill="1" applyBorder="1" applyAlignment="1">
      <alignment horizontal="center"/>
    </xf>
    <xf numFmtId="0" fontId="31" fillId="8" borderId="35" xfId="0" applyFont="1" applyFill="1" applyBorder="1" applyAlignment="1">
      <alignment horizontal="center"/>
    </xf>
    <xf numFmtId="0" fontId="31" fillId="8" borderId="36" xfId="0" applyFont="1" applyFill="1" applyBorder="1" applyAlignment="1">
      <alignment horizontal="center"/>
    </xf>
    <xf numFmtId="0" fontId="31" fillId="8" borderId="37" xfId="0" applyFont="1" applyFill="1" applyBorder="1" applyAlignment="1">
      <alignment horizontal="center"/>
    </xf>
    <xf numFmtId="0" fontId="31" fillId="8" borderId="38" xfId="0" applyFont="1" applyFill="1" applyBorder="1" applyAlignment="1">
      <alignment horizontal="center"/>
    </xf>
    <xf numFmtId="0" fontId="31" fillId="8" borderId="39" xfId="0" applyFont="1" applyFill="1" applyBorder="1" applyAlignment="1">
      <alignment horizontal="center"/>
    </xf>
    <xf numFmtId="0" fontId="31" fillId="8" borderId="40" xfId="0" applyFont="1" applyFill="1" applyBorder="1" applyAlignment="1">
      <alignment horizontal="center"/>
    </xf>
    <xf numFmtId="0" fontId="31" fillId="9" borderId="35" xfId="0" applyFont="1" applyFill="1" applyBorder="1" applyAlignment="1">
      <alignment horizontal="center"/>
    </xf>
    <xf numFmtId="0" fontId="31" fillId="9" borderId="36" xfId="0" applyFont="1" applyFill="1" applyBorder="1" applyAlignment="1">
      <alignment horizontal="center"/>
    </xf>
    <xf numFmtId="0" fontId="31" fillId="9" borderId="37" xfId="0" applyFont="1" applyFill="1" applyBorder="1" applyAlignment="1">
      <alignment horizontal="center"/>
    </xf>
    <xf numFmtId="0" fontId="31" fillId="9" borderId="38" xfId="0" applyFont="1" applyFill="1" applyBorder="1" applyAlignment="1">
      <alignment horizontal="center"/>
    </xf>
    <xf numFmtId="0" fontId="31" fillId="9" borderId="39" xfId="0" applyFont="1" applyFill="1" applyBorder="1" applyAlignment="1">
      <alignment horizontal="center"/>
    </xf>
    <xf numFmtId="0" fontId="31" fillId="9" borderId="40" xfId="0" applyFont="1" applyFill="1" applyBorder="1" applyAlignment="1">
      <alignment horizontal="center"/>
    </xf>
    <xf numFmtId="0" fontId="31" fillId="0" borderId="35"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38"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38" xfId="0" applyFont="1" applyBorder="1" applyAlignment="1">
      <alignment horizontal="center" vertical="center" wrapText="1"/>
    </xf>
    <xf numFmtId="0" fontId="1" fillId="7" borderId="11" xfId="0" applyFont="1" applyFill="1" applyBorder="1" applyAlignment="1">
      <alignment horizontal="center"/>
    </xf>
    <xf numFmtId="0" fontId="1" fillId="7" borderId="12" xfId="0" applyFont="1" applyFill="1" applyBorder="1" applyAlignment="1">
      <alignment horizontal="center"/>
    </xf>
    <xf numFmtId="0" fontId="1" fillId="7" borderId="13" xfId="0" applyFont="1" applyFill="1" applyBorder="1" applyAlignment="1">
      <alignment horizontal="center"/>
    </xf>
    <xf numFmtId="0" fontId="0" fillId="7" borderId="11" xfId="0" applyFill="1" applyBorder="1" applyAlignment="1">
      <alignment horizontal="center"/>
    </xf>
    <xf numFmtId="0" fontId="0" fillId="7" borderId="13" xfId="0" applyFill="1" applyBorder="1" applyAlignment="1">
      <alignment horizontal="center"/>
    </xf>
    <xf numFmtId="0" fontId="0" fillId="7" borderId="12" xfId="0"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41" fillId="11" borderId="11" xfId="0" applyFont="1" applyFill="1" applyBorder="1" applyAlignment="1">
      <alignment horizontal="center"/>
    </xf>
    <xf numFmtId="0" fontId="41" fillId="11" borderId="12" xfId="0" applyFont="1" applyFill="1" applyBorder="1" applyAlignment="1">
      <alignment horizontal="center"/>
    </xf>
    <xf numFmtId="0" fontId="41" fillId="11" borderId="13" xfId="0" applyFont="1" applyFill="1" applyBorder="1" applyAlignment="1">
      <alignment horizontal="center"/>
    </xf>
    <xf numFmtId="0" fontId="19" fillId="0" borderId="15" xfId="0" applyFont="1" applyBorder="1" applyAlignment="1">
      <alignment wrapText="1"/>
    </xf>
    <xf numFmtId="0" fontId="4" fillId="0" borderId="17" xfId="0" applyFont="1" applyBorder="1"/>
    <xf numFmtId="0" fontId="4" fillId="0" borderId="20" xfId="0" applyFont="1" applyBorder="1"/>
    <xf numFmtId="0" fontId="4" fillId="0" borderId="22" xfId="0" applyFont="1" applyBorder="1"/>
    <xf numFmtId="0" fontId="19" fillId="0" borderId="43" xfId="0" applyFont="1" applyBorder="1" applyAlignment="1">
      <alignment wrapText="1"/>
    </xf>
    <xf numFmtId="0" fontId="4" fillId="0" borderId="46" xfId="0" applyFont="1" applyBorder="1"/>
    <xf numFmtId="0" fontId="19" fillId="0" borderId="18" xfId="0" applyFont="1" applyBorder="1" applyAlignment="1">
      <alignment horizontal="center"/>
    </xf>
    <xf numFmtId="0" fontId="4" fillId="0" borderId="44" xfId="0" applyFont="1" applyBorder="1"/>
    <xf numFmtId="0" fontId="3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22" fillId="0" borderId="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8" xfId="0" applyFont="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10" fillId="0" borderId="6" xfId="0" applyFont="1" applyBorder="1" applyAlignment="1">
      <alignment horizontal="center" vertical="center"/>
    </xf>
    <xf numFmtId="0" fontId="11" fillId="0" borderId="6" xfId="0" applyFont="1" applyBorder="1" applyAlignment="1">
      <alignment horizontal="center" vertical="center"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center" vertical="center" wrapText="1"/>
    </xf>
    <xf numFmtId="0" fontId="0" fillId="0" borderId="9" xfId="0" applyBorder="1" applyAlignment="1">
      <alignment horizontal="center" wrapText="1"/>
    </xf>
    <xf numFmtId="0" fontId="0" fillId="2" borderId="11" xfId="0" applyFill="1" applyBorder="1" applyAlignment="1">
      <alignment horizontal="center" wrapText="1"/>
    </xf>
    <xf numFmtId="0" fontId="0" fillId="2" borderId="12" xfId="0" applyFill="1" applyBorder="1" applyAlignment="1">
      <alignment horizontal="center" wrapText="1"/>
    </xf>
  </cellXfs>
  <cellStyles count="5">
    <cellStyle name="Hyperlink" xfId="2" builtinId="8"/>
    <cellStyle name="Normal" xfId="0" builtinId="0"/>
    <cellStyle name="Normal 2" xfId="3"/>
    <cellStyle name="Normal 3" xfId="1"/>
    <cellStyle name="Percent" xfId="4"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33"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0</xdr:colOff>
      <xdr:row>448</xdr:row>
      <xdr:rowOff>0</xdr:rowOff>
    </xdr:from>
    <xdr:ext cx="220980" cy="114300"/>
    <xdr:sp macro="" textlink="">
      <xdr:nvSpPr>
        <xdr:cNvPr id="2" name="AutoShape 3" descr="https://upload.wikimedia.org/wikipedia/en/thumb/a/a4/Flag_of_the_United_States.svg/23px-Flag_of_the_United_States.svg.png">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1990725" y="8305800"/>
          <a:ext cx="220980" cy="114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448</xdr:row>
      <xdr:rowOff>0</xdr:rowOff>
    </xdr:from>
    <xdr:ext cx="304800" cy="304800"/>
    <xdr:sp macro="" textlink="">
      <xdr:nvSpPr>
        <xdr:cNvPr id="3" name="AutoShape 4" descr="https://upload.wikimedia.org/wikipedia/commons/thumb/5/55/WMA_button2b.png/17px-WMA_button2b.png">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3248025"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533</xdr:row>
      <xdr:rowOff>0</xdr:rowOff>
    </xdr:from>
    <xdr:ext cx="220980" cy="114300"/>
    <xdr:sp macro="" textlink="">
      <xdr:nvSpPr>
        <xdr:cNvPr id="4" name="AutoShape 5" descr="https://upload.wikimedia.org/wikipedia/en/thumb/a/a4/Flag_of_the_United_States.svg/23px-Flag_of_the_United_States.svg.png">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1990725" y="4533900"/>
          <a:ext cx="220980" cy="114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533</xdr:row>
      <xdr:rowOff>0</xdr:rowOff>
    </xdr:from>
    <xdr:ext cx="304800" cy="304800"/>
    <xdr:sp macro="" textlink="">
      <xdr:nvSpPr>
        <xdr:cNvPr id="5" name="AutoShape 6" descr="https://upload.wikimedia.org/wikipedia/commons/thumb/5/55/WMA_button2b.png/17px-WMA_button2b.png">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3248025" y="4533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533</xdr:row>
      <xdr:rowOff>0</xdr:rowOff>
    </xdr:from>
    <xdr:ext cx="220980" cy="114300"/>
    <xdr:sp macro="" textlink="">
      <xdr:nvSpPr>
        <xdr:cNvPr id="6" name="AutoShape 7" descr="https://upload.wikimedia.org/wikipedia/en/thumb/a/a4/Flag_of_the_United_States.svg/23px-Flag_of_the_United_States.svg.png">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1990725" y="4533900"/>
          <a:ext cx="220980" cy="114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533</xdr:row>
      <xdr:rowOff>0</xdr:rowOff>
    </xdr:from>
    <xdr:ext cx="304800" cy="304800"/>
    <xdr:sp macro="" textlink="">
      <xdr:nvSpPr>
        <xdr:cNvPr id="7" name="AutoShape 8" descr="https://upload.wikimedia.org/wikipedia/commons/thumb/5/55/WMA_button2b.png/17px-WMA_button2b.png">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3248025" y="4533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533</xdr:row>
      <xdr:rowOff>0</xdr:rowOff>
    </xdr:from>
    <xdr:ext cx="220980" cy="114300"/>
    <xdr:sp macro="" textlink="">
      <xdr:nvSpPr>
        <xdr:cNvPr id="8" name="AutoShape 9" descr="https://upload.wikimedia.org/wikipedia/en/thumb/a/a4/Flag_of_the_United_States.svg/23px-Flag_of_the_United_States.svg.png">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1990725" y="4533900"/>
          <a:ext cx="220980" cy="114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533</xdr:row>
      <xdr:rowOff>0</xdr:rowOff>
    </xdr:from>
    <xdr:ext cx="304800" cy="304800"/>
    <xdr:sp macro="" textlink="">
      <xdr:nvSpPr>
        <xdr:cNvPr id="9" name="AutoShape 10" descr="https://upload.wikimedia.org/wikipedia/commons/thumb/5/55/WMA_button2b.png/17px-WMA_button2b.png">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3248025" y="4533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166</xdr:row>
      <xdr:rowOff>0</xdr:rowOff>
    </xdr:from>
    <xdr:ext cx="220980" cy="114300"/>
    <xdr:sp macro="" textlink="">
      <xdr:nvSpPr>
        <xdr:cNvPr id="10" name="AutoShape 11" descr="https://upload.wikimedia.org/wikipedia/en/thumb/a/a4/Flag_of_the_United_States.svg/23px-Flag_of_the_United_States.svg.png">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1990725" y="6000750"/>
          <a:ext cx="220980" cy="114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166</xdr:row>
      <xdr:rowOff>0</xdr:rowOff>
    </xdr:from>
    <xdr:ext cx="304800" cy="304800"/>
    <xdr:sp macro="" textlink="">
      <xdr:nvSpPr>
        <xdr:cNvPr id="11" name="AutoShape 12" descr="https://upload.wikimedia.org/wikipedia/commons/thumb/5/55/WMA_button2b.png/17px-WMA_button2b.png">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3248025" y="600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persons/person.xml><?xml version="1.0" encoding="utf-8"?>
<personList xmlns="http://schemas.microsoft.com/office/spreadsheetml/2018/threadedcomments" xmlns:x="http://schemas.openxmlformats.org/spreadsheetml/2006/main">
  <person displayName="Silvio Matassa" id="{2F8E6F65-071C-40D3-A82D-67780B5C897B}" userId="3ada021578535456" providerId="Windows Live"/>
  <person displayName="Rodrigo Molina" id="{10B27B9F-E5EF-4E12-9B85-2B4DC8BE0EA5}" userId="eaca99cc2014377b"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www.fao.org/3/X9892E/X9892e05.htm" TargetMode="External"/><Relationship Id="rId7" Type="http://schemas.openxmlformats.org/officeDocument/2006/relationships/printerSettings" Target="../printerSettings/printerSettings5.bin"/><Relationship Id="rId2" Type="http://schemas.openxmlformats.org/officeDocument/2006/relationships/hyperlink" Target="http://www.fao.org/3/x9892e/x9892e00.pdf" TargetMode="External"/><Relationship Id="rId1" Type="http://schemas.openxmlformats.org/officeDocument/2006/relationships/hyperlink" Target="http://www.fao.org/faostat/en/" TargetMode="External"/><Relationship Id="rId6" Type="http://schemas.openxmlformats.org/officeDocument/2006/relationships/hyperlink" Target="http://www.fao.org/3/X9892E/X9892e05.htm" TargetMode="External"/><Relationship Id="rId5" Type="http://schemas.openxmlformats.org/officeDocument/2006/relationships/hyperlink" Target="http://www.fao.org/3/x9892e/x9892e00.pdf" TargetMode="External"/><Relationship Id="rId4" Type="http://schemas.openxmlformats.org/officeDocument/2006/relationships/hyperlink" Target="http://www.fao.org/faostat/e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workbookViewId="0"/>
  </sheetViews>
  <sheetFormatPr defaultColWidth="11.44140625" defaultRowHeight="14.4" x14ac:dyDescent="0.3"/>
  <cols>
    <col min="1" max="1" width="22.5546875" customWidth="1"/>
    <col min="2" max="2" width="32.109375" customWidth="1"/>
    <col min="3" max="3" width="164.5546875" customWidth="1"/>
  </cols>
  <sheetData>
    <row r="1" spans="1:4" ht="36" customHeight="1" x14ac:dyDescent="0.3">
      <c r="A1" s="99" t="s">
        <v>1442</v>
      </c>
      <c r="B1" s="100" t="s">
        <v>1462</v>
      </c>
      <c r="C1" s="100" t="s">
        <v>1444</v>
      </c>
    </row>
    <row r="2" spans="1:4" ht="27.75" customHeight="1" x14ac:dyDescent="0.3">
      <c r="A2" s="31" t="s">
        <v>1962</v>
      </c>
      <c r="B2" s="31" t="s">
        <v>1443</v>
      </c>
      <c r="C2" s="101" t="s">
        <v>1454</v>
      </c>
    </row>
    <row r="3" spans="1:4" ht="27.75" customHeight="1" x14ac:dyDescent="0.3">
      <c r="A3" s="31" t="s">
        <v>1963</v>
      </c>
      <c r="B3" s="31" t="s">
        <v>1451</v>
      </c>
      <c r="C3" s="101" t="s">
        <v>1456</v>
      </c>
    </row>
    <row r="4" spans="1:4" ht="27.75" customHeight="1" x14ac:dyDescent="0.3">
      <c r="A4" s="31" t="s">
        <v>1964</v>
      </c>
      <c r="B4" s="31" t="s">
        <v>1452</v>
      </c>
      <c r="C4" s="101" t="s">
        <v>1993</v>
      </c>
    </row>
    <row r="5" spans="1:4" ht="27.75" customHeight="1" x14ac:dyDescent="0.3">
      <c r="A5" s="31" t="s">
        <v>1965</v>
      </c>
      <c r="B5" s="31" t="s">
        <v>1972</v>
      </c>
      <c r="C5" s="101" t="s">
        <v>1636</v>
      </c>
    </row>
    <row r="6" spans="1:4" ht="27.75" customHeight="1" x14ac:dyDescent="0.3">
      <c r="A6" s="31" t="s">
        <v>1966</v>
      </c>
      <c r="B6" s="31" t="s">
        <v>1457</v>
      </c>
      <c r="C6" s="101" t="s">
        <v>1976</v>
      </c>
    </row>
    <row r="7" spans="1:4" ht="27.75" customHeight="1" x14ac:dyDescent="0.3">
      <c r="A7" s="31" t="s">
        <v>1967</v>
      </c>
      <c r="B7" s="31" t="s">
        <v>1960</v>
      </c>
      <c r="C7" s="101" t="s">
        <v>1961</v>
      </c>
    </row>
    <row r="8" spans="1:4" ht="27.75" customHeight="1" x14ac:dyDescent="0.3">
      <c r="A8" s="31" t="s">
        <v>1968</v>
      </c>
      <c r="B8" s="31" t="s">
        <v>1975</v>
      </c>
      <c r="C8" s="101" t="s">
        <v>1977</v>
      </c>
    </row>
    <row r="9" spans="1:4" ht="27.75" customHeight="1" x14ac:dyDescent="0.3">
      <c r="A9" s="31" t="s">
        <v>1969</v>
      </c>
      <c r="B9" s="31" t="s">
        <v>1453</v>
      </c>
      <c r="C9" s="101" t="s">
        <v>1463</v>
      </c>
    </row>
    <row r="10" spans="1:4" x14ac:dyDescent="0.3">
      <c r="A10" s="411"/>
      <c r="B10" s="411"/>
      <c r="C10" s="411"/>
      <c r="D10" s="411"/>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H1239"/>
  <sheetViews>
    <sheetView workbookViewId="0">
      <pane ySplit="1" topLeftCell="A2" activePane="bottomLeft" state="frozen"/>
      <selection pane="bottomLeft" activeCell="P28" sqref="P28"/>
    </sheetView>
  </sheetViews>
  <sheetFormatPr defaultColWidth="8.88671875" defaultRowHeight="14.4" x14ac:dyDescent="0.3"/>
  <cols>
    <col min="1" max="1" width="23.109375" style="14" customWidth="1"/>
    <col min="2" max="2" width="16.33203125" style="10" customWidth="1"/>
    <col min="3" max="3" width="18.5546875" style="15" customWidth="1"/>
    <col min="4" max="4" width="13" style="15" customWidth="1"/>
    <col min="5" max="5" width="15.44140625" style="15" customWidth="1"/>
    <col min="6" max="6" width="12.44140625" style="10" customWidth="1"/>
    <col min="7" max="7" width="11.44140625" style="10" customWidth="1"/>
    <col min="8" max="8" width="12.109375" style="62" customWidth="1"/>
    <col min="9" max="10" width="15.88671875" style="10" customWidth="1"/>
    <col min="11" max="11" width="18" customWidth="1"/>
    <col min="12" max="12" width="15.6640625" style="11" customWidth="1"/>
    <col min="13" max="13" width="22.44140625" style="9" customWidth="1"/>
    <col min="14" max="14" width="18.33203125" style="9" customWidth="1"/>
    <col min="15" max="15" width="12" bestFit="1" customWidth="1"/>
    <col min="16" max="16" width="16.33203125" customWidth="1"/>
    <col min="17" max="17" width="13.5546875" customWidth="1"/>
    <col min="19" max="19" width="8.88671875" bestFit="1" customWidth="1"/>
    <col min="20" max="20" width="19.44140625" customWidth="1"/>
    <col min="21" max="21" width="13.6640625" customWidth="1"/>
    <col min="22" max="22" width="8.88671875" bestFit="1" customWidth="1"/>
    <col min="25" max="25" width="14.33203125" customWidth="1"/>
    <col min="26" max="26" width="17.44140625" customWidth="1"/>
    <col min="27" max="27" width="18.44140625" customWidth="1"/>
    <col min="28" max="28" width="8.88671875" bestFit="1" customWidth="1"/>
    <col min="31" max="33" width="19.44140625" customWidth="1"/>
  </cols>
  <sheetData>
    <row r="1" spans="1:34" ht="58.5" customHeight="1" x14ac:dyDescent="0.3">
      <c r="A1" s="6" t="s">
        <v>43</v>
      </c>
      <c r="B1" s="7" t="s">
        <v>29</v>
      </c>
      <c r="C1" s="19" t="s">
        <v>508</v>
      </c>
      <c r="D1" s="57" t="s">
        <v>44</v>
      </c>
      <c r="E1" s="57" t="s">
        <v>253</v>
      </c>
      <c r="F1" s="57" t="s">
        <v>45</v>
      </c>
      <c r="G1" s="57" t="s">
        <v>254</v>
      </c>
      <c r="H1" s="61" t="s">
        <v>1345</v>
      </c>
      <c r="I1" s="57" t="s">
        <v>255</v>
      </c>
      <c r="J1" s="57" t="s">
        <v>1979</v>
      </c>
      <c r="K1" s="58" t="s">
        <v>1980</v>
      </c>
      <c r="L1" s="58" t="s">
        <v>1981</v>
      </c>
      <c r="M1" s="57" t="s">
        <v>1436</v>
      </c>
      <c r="N1" s="57" t="s">
        <v>1346</v>
      </c>
      <c r="P1" s="8"/>
      <c r="Q1" s="8"/>
      <c r="R1" s="4"/>
      <c r="S1" s="8"/>
      <c r="T1" s="8"/>
      <c r="U1" s="8"/>
      <c r="V1" s="4"/>
      <c r="W1" s="8"/>
      <c r="X1" s="8"/>
      <c r="Y1" s="8"/>
      <c r="Z1" s="8"/>
      <c r="AA1" s="8"/>
      <c r="AB1" s="4"/>
      <c r="AC1" s="8"/>
      <c r="AD1" s="8"/>
      <c r="AE1" s="8"/>
      <c r="AF1" s="8"/>
      <c r="AG1" s="8"/>
    </row>
    <row r="2" spans="1:34" ht="17.100000000000001" customHeight="1" x14ac:dyDescent="0.3">
      <c r="A2" s="27" t="s">
        <v>563</v>
      </c>
      <c r="B2" s="27" t="s">
        <v>564</v>
      </c>
      <c r="C2" s="26" t="s">
        <v>565</v>
      </c>
      <c r="D2" s="29">
        <v>5.2</v>
      </c>
      <c r="E2" s="29">
        <v>11.88</v>
      </c>
      <c r="F2" s="27">
        <v>2018</v>
      </c>
      <c r="G2" s="29">
        <v>9.8000000000000007</v>
      </c>
      <c r="H2" s="28">
        <f t="shared" ref="H2:H60" si="0">G2*10^6/(D2*10^4)</f>
        <v>188.46153846153845</v>
      </c>
      <c r="I2" s="30">
        <f t="shared" ref="I2:I60" si="1">E2*10^6/(D2*10^4)</f>
        <v>228.46153846153845</v>
      </c>
      <c r="J2" s="31">
        <v>1777</v>
      </c>
      <c r="K2" s="31">
        <v>919</v>
      </c>
      <c r="L2" s="31">
        <v>1183</v>
      </c>
      <c r="M2" s="32">
        <v>26.8</v>
      </c>
      <c r="N2" s="33">
        <f>I2/J2</f>
        <v>0.12856586294965586</v>
      </c>
    </row>
    <row r="3" spans="1:34" ht="16.5" customHeight="1" x14ac:dyDescent="0.3">
      <c r="A3" s="34" t="s">
        <v>37</v>
      </c>
      <c r="B3" s="16" t="s">
        <v>38</v>
      </c>
      <c r="C3" s="16" t="s">
        <v>46</v>
      </c>
      <c r="D3" s="35">
        <v>250</v>
      </c>
      <c r="E3" s="35">
        <v>380</v>
      </c>
      <c r="F3" s="16">
        <v>2015</v>
      </c>
      <c r="G3" s="36">
        <v>300</v>
      </c>
      <c r="H3" s="28">
        <f t="shared" si="0"/>
        <v>120</v>
      </c>
      <c r="I3" s="30">
        <f t="shared" si="1"/>
        <v>152</v>
      </c>
      <c r="J3" s="38">
        <v>1313</v>
      </c>
      <c r="K3" s="39">
        <v>620</v>
      </c>
      <c r="L3" s="40">
        <v>1241</v>
      </c>
      <c r="M3" s="41">
        <v>13.8</v>
      </c>
      <c r="N3" s="33">
        <f t="shared" ref="N3:N60" si="2">I3/J3</f>
        <v>0.11576542269611577</v>
      </c>
    </row>
    <row r="4" spans="1:34" ht="17.100000000000001" customHeight="1" x14ac:dyDescent="0.3">
      <c r="A4" s="27" t="s">
        <v>568</v>
      </c>
      <c r="B4" s="27" t="s">
        <v>21</v>
      </c>
      <c r="C4" s="26" t="s">
        <v>569</v>
      </c>
      <c r="D4" s="29">
        <v>5.3</v>
      </c>
      <c r="E4" s="29">
        <v>10.072229999999999</v>
      </c>
      <c r="F4" s="27">
        <v>2016</v>
      </c>
      <c r="G4" s="29">
        <v>6.3148799999999996</v>
      </c>
      <c r="H4" s="28">
        <f t="shared" si="0"/>
        <v>119.14867924528302</v>
      </c>
      <c r="I4" s="30">
        <f t="shared" si="1"/>
        <v>190.04207547169813</v>
      </c>
      <c r="J4" s="31">
        <v>1735</v>
      </c>
      <c r="K4" s="31">
        <v>565</v>
      </c>
      <c r="L4" s="31">
        <v>1961</v>
      </c>
      <c r="M4" s="32">
        <v>9.4</v>
      </c>
      <c r="N4" s="33">
        <f t="shared" si="2"/>
        <v>0.10953433744766462</v>
      </c>
    </row>
    <row r="5" spans="1:34" ht="17.100000000000001" customHeight="1" x14ac:dyDescent="0.3">
      <c r="A5" s="42" t="s">
        <v>495</v>
      </c>
      <c r="B5" s="17" t="s">
        <v>7</v>
      </c>
      <c r="C5" s="17" t="s">
        <v>496</v>
      </c>
      <c r="D5" s="43">
        <v>3.4000000953674299</v>
      </c>
      <c r="E5" s="43">
        <v>3.9825913906097399</v>
      </c>
      <c r="F5" s="17">
        <v>2015</v>
      </c>
      <c r="G5" s="36">
        <v>4.3000001907348597</v>
      </c>
      <c r="H5" s="28">
        <f t="shared" si="0"/>
        <v>126.47059029773845</v>
      </c>
      <c r="I5" s="30">
        <f t="shared" si="1"/>
        <v>117.1350376147372</v>
      </c>
      <c r="J5" s="31">
        <v>1089</v>
      </c>
      <c r="K5" s="40">
        <v>568</v>
      </c>
      <c r="L5" s="30">
        <v>991</v>
      </c>
      <c r="M5" s="32">
        <v>13.8</v>
      </c>
      <c r="N5" s="33">
        <f t="shared" si="2"/>
        <v>0.10756201801169624</v>
      </c>
    </row>
    <row r="6" spans="1:34" ht="17.100000000000001" customHeight="1" x14ac:dyDescent="0.3">
      <c r="A6" s="27" t="s">
        <v>566</v>
      </c>
      <c r="B6" s="27" t="s">
        <v>11</v>
      </c>
      <c r="C6" s="26" t="s">
        <v>567</v>
      </c>
      <c r="D6" s="29">
        <v>3.3</v>
      </c>
      <c r="E6" s="29">
        <v>4.58</v>
      </c>
      <c r="F6" s="27">
        <v>2016</v>
      </c>
      <c r="G6" s="29">
        <v>4.5</v>
      </c>
      <c r="H6" s="28">
        <f t="shared" si="0"/>
        <v>136.36363636363637</v>
      </c>
      <c r="I6" s="30">
        <f t="shared" si="1"/>
        <v>138.78787878787878</v>
      </c>
      <c r="J6" s="31">
        <v>1399</v>
      </c>
      <c r="K6" s="31">
        <v>696</v>
      </c>
      <c r="L6" s="31">
        <v>1205</v>
      </c>
      <c r="M6" s="32">
        <v>15</v>
      </c>
      <c r="N6" s="33">
        <f t="shared" si="2"/>
        <v>9.9205059891264324E-2</v>
      </c>
      <c r="P6" s="560" t="s">
        <v>1346</v>
      </c>
      <c r="Q6" s="561"/>
    </row>
    <row r="7" spans="1:34" ht="17.100000000000001" customHeight="1" x14ac:dyDescent="0.3">
      <c r="A7" s="42" t="s">
        <v>505</v>
      </c>
      <c r="B7" s="17" t="s">
        <v>22</v>
      </c>
      <c r="C7" s="17" t="s">
        <v>506</v>
      </c>
      <c r="D7" s="43">
        <v>8</v>
      </c>
      <c r="E7" s="43">
        <v>7.1999998092651403</v>
      </c>
      <c r="F7" s="17">
        <v>2017</v>
      </c>
      <c r="G7" s="36">
        <v>7.1999998092651403</v>
      </c>
      <c r="H7" s="28">
        <f t="shared" si="0"/>
        <v>89.999997615814252</v>
      </c>
      <c r="I7" s="30">
        <f t="shared" si="1"/>
        <v>89.999997615814252</v>
      </c>
      <c r="J7" s="31">
        <v>936</v>
      </c>
      <c r="K7" s="39">
        <v>558</v>
      </c>
      <c r="L7" s="40">
        <v>753</v>
      </c>
      <c r="M7" s="41">
        <v>8.8000000000000007</v>
      </c>
      <c r="N7" s="33">
        <f t="shared" si="2"/>
        <v>9.6153843606639158E-2</v>
      </c>
      <c r="P7" s="74" t="s">
        <v>1431</v>
      </c>
      <c r="Q7" s="88">
        <f>MEDIAN(N1:N629)</f>
        <v>4.9109808379308673E-2</v>
      </c>
    </row>
    <row r="8" spans="1:34" ht="17.100000000000001" customHeight="1" x14ac:dyDescent="0.3">
      <c r="A8" s="42" t="s">
        <v>450</v>
      </c>
      <c r="B8" s="17" t="s">
        <v>6</v>
      </c>
      <c r="C8" s="17" t="s">
        <v>451</v>
      </c>
      <c r="D8" s="43">
        <v>12.5</v>
      </c>
      <c r="E8" s="43">
        <v>16.163261413574201</v>
      </c>
      <c r="F8" s="17">
        <v>2015</v>
      </c>
      <c r="G8" s="36">
        <v>9.7920999526977504</v>
      </c>
      <c r="H8" s="28">
        <f t="shared" si="0"/>
        <v>78.336799621582003</v>
      </c>
      <c r="I8" s="30">
        <f t="shared" si="1"/>
        <v>129.30609130859361</v>
      </c>
      <c r="J8" s="31">
        <v>1364</v>
      </c>
      <c r="K8" s="39">
        <v>600</v>
      </c>
      <c r="L8" s="40">
        <v>1337</v>
      </c>
      <c r="M8" s="31">
        <v>12.5</v>
      </c>
      <c r="N8" s="33">
        <f t="shared" si="2"/>
        <v>9.4799187176388272E-2</v>
      </c>
      <c r="O8" s="9"/>
      <c r="P8" s="74" t="s">
        <v>1433</v>
      </c>
      <c r="Q8" s="88">
        <f>PERCENTILE(N1:N629,30%)</f>
        <v>4.1038413670688008E-2</v>
      </c>
      <c r="S8" s="8"/>
      <c r="T8" s="8"/>
      <c r="U8" s="8"/>
      <c r="V8" s="4"/>
      <c r="W8" s="8"/>
      <c r="X8" s="8"/>
      <c r="Y8" s="8"/>
      <c r="Z8" s="8"/>
      <c r="AA8" s="8"/>
      <c r="AB8" s="4"/>
      <c r="AC8" s="8"/>
      <c r="AD8" s="8"/>
      <c r="AE8" s="8"/>
      <c r="AF8" s="8"/>
      <c r="AG8" s="8"/>
      <c r="AH8" s="4"/>
    </row>
    <row r="9" spans="1:34" ht="17.100000000000001" customHeight="1" x14ac:dyDescent="0.3">
      <c r="A9" s="42" t="s">
        <v>354</v>
      </c>
      <c r="B9" s="17" t="s">
        <v>6</v>
      </c>
      <c r="C9" s="17" t="s">
        <v>355</v>
      </c>
      <c r="D9" s="43">
        <v>4.3000001907348597</v>
      </c>
      <c r="E9" s="43">
        <v>6.1999998092651403</v>
      </c>
      <c r="F9" s="17">
        <v>2017</v>
      </c>
      <c r="G9" s="36">
        <v>5.7633099555969203</v>
      </c>
      <c r="H9" s="28">
        <f t="shared" si="0"/>
        <v>134.03045813846776</v>
      </c>
      <c r="I9" s="30">
        <f t="shared" si="1"/>
        <v>144.18603568028158</v>
      </c>
      <c r="J9" s="31">
        <v>1541</v>
      </c>
      <c r="K9" s="40">
        <v>572</v>
      </c>
      <c r="L9" s="40">
        <v>1711</v>
      </c>
      <c r="M9" s="41">
        <v>15</v>
      </c>
      <c r="N9" s="33">
        <f t="shared" si="2"/>
        <v>9.3566538403816721E-2</v>
      </c>
      <c r="O9" s="9"/>
      <c r="P9" s="74" t="s">
        <v>1434</v>
      </c>
      <c r="Q9" s="88">
        <f>PERCENTILE(N2:N630,70%)</f>
        <v>5.5540918296389255E-2</v>
      </c>
      <c r="S9" s="8"/>
      <c r="T9" s="8"/>
      <c r="U9" s="8"/>
      <c r="V9" s="4"/>
      <c r="W9" s="8"/>
      <c r="X9" s="8"/>
      <c r="Y9" s="8"/>
      <c r="Z9" s="8"/>
      <c r="AA9" s="8"/>
      <c r="AB9" s="4"/>
      <c r="AC9" s="8"/>
      <c r="AD9" s="8"/>
      <c r="AE9" s="8"/>
      <c r="AF9" s="8"/>
      <c r="AG9" s="8"/>
      <c r="AH9" s="4"/>
    </row>
    <row r="10" spans="1:34" s="11" customFormat="1" ht="17.100000000000001" customHeight="1" x14ac:dyDescent="0.3">
      <c r="A10" s="27" t="s">
        <v>577</v>
      </c>
      <c r="B10" s="27" t="s">
        <v>128</v>
      </c>
      <c r="C10" s="26" t="s">
        <v>578</v>
      </c>
      <c r="D10" s="29">
        <v>33.6</v>
      </c>
      <c r="E10" s="29">
        <v>63</v>
      </c>
      <c r="F10" s="27">
        <v>2015</v>
      </c>
      <c r="G10" s="29">
        <v>33.25</v>
      </c>
      <c r="H10" s="28">
        <f t="shared" si="0"/>
        <v>98.958333333333329</v>
      </c>
      <c r="I10" s="30">
        <f t="shared" si="1"/>
        <v>187.5</v>
      </c>
      <c r="J10" s="31">
        <v>2025</v>
      </c>
      <c r="K10" s="31">
        <v>486</v>
      </c>
      <c r="L10" s="31">
        <v>2517</v>
      </c>
      <c r="M10" s="32">
        <v>16.600000000000001</v>
      </c>
      <c r="N10" s="33">
        <f t="shared" si="2"/>
        <v>9.2592592592592587E-2</v>
      </c>
      <c r="O10" s="54"/>
      <c r="P10" s="54"/>
      <c r="Q10" s="54"/>
      <c r="R10" s="54"/>
      <c r="S10" s="54"/>
      <c r="T10" s="54"/>
      <c r="U10" s="54"/>
      <c r="V10" s="54"/>
      <c r="W10" s="54"/>
      <c r="X10" s="54"/>
      <c r="Y10" s="54"/>
      <c r="Z10" s="54"/>
      <c r="AA10" s="54"/>
      <c r="AB10" s="54"/>
      <c r="AC10" s="54"/>
      <c r="AD10" s="54"/>
      <c r="AE10" s="54"/>
      <c r="AF10" s="54"/>
      <c r="AG10" s="54"/>
      <c r="AH10" s="54"/>
    </row>
    <row r="11" spans="1:34" ht="17.100000000000001" customHeight="1" x14ac:dyDescent="0.3">
      <c r="A11" s="27" t="s">
        <v>572</v>
      </c>
      <c r="B11" s="27" t="s">
        <v>573</v>
      </c>
      <c r="C11" s="26" t="s">
        <v>574</v>
      </c>
      <c r="D11" s="29">
        <v>62.4</v>
      </c>
      <c r="E11" s="29">
        <v>102.52500000000001</v>
      </c>
      <c r="F11" s="27">
        <v>2019</v>
      </c>
      <c r="G11" s="29">
        <v>70</v>
      </c>
      <c r="H11" s="28">
        <f t="shared" si="0"/>
        <v>112.17948717948718</v>
      </c>
      <c r="I11" s="30">
        <f t="shared" si="1"/>
        <v>164.30288461538461</v>
      </c>
      <c r="J11" s="31">
        <v>1827</v>
      </c>
      <c r="K11" s="31">
        <v>895</v>
      </c>
      <c r="L11" s="31">
        <v>1298</v>
      </c>
      <c r="M11" s="32">
        <v>26.6</v>
      </c>
      <c r="N11" s="33">
        <f t="shared" si="2"/>
        <v>8.9930423982148122E-2</v>
      </c>
    </row>
    <row r="12" spans="1:34" ht="17.100000000000001" customHeight="1" x14ac:dyDescent="0.3">
      <c r="A12" s="34" t="s">
        <v>47</v>
      </c>
      <c r="B12" s="16" t="s">
        <v>6</v>
      </c>
      <c r="C12" s="16" t="s">
        <v>48</v>
      </c>
      <c r="D12" s="35">
        <v>89.6</v>
      </c>
      <c r="E12" s="35">
        <v>128</v>
      </c>
      <c r="F12" s="16">
        <v>2017</v>
      </c>
      <c r="G12" s="36">
        <v>82</v>
      </c>
      <c r="H12" s="28">
        <f t="shared" si="0"/>
        <v>91.517857142857139</v>
      </c>
      <c r="I12" s="30">
        <f t="shared" si="1"/>
        <v>142.85714285714286</v>
      </c>
      <c r="J12" s="44">
        <v>1608</v>
      </c>
      <c r="K12" s="39">
        <v>545</v>
      </c>
      <c r="L12" s="40">
        <v>1915</v>
      </c>
      <c r="M12" s="41">
        <v>13.3</v>
      </c>
      <c r="N12" s="33">
        <f t="shared" si="2"/>
        <v>8.8841506751954513E-2</v>
      </c>
      <c r="O12" s="54"/>
      <c r="Q12" s="54"/>
      <c r="S12" s="54"/>
      <c r="T12" s="54"/>
      <c r="U12" s="54"/>
      <c r="V12" s="54"/>
      <c r="W12" s="54"/>
      <c r="X12" s="54"/>
      <c r="Y12" s="54"/>
      <c r="Z12" s="54"/>
      <c r="AA12" s="54"/>
      <c r="AB12" s="54"/>
      <c r="AC12" s="54"/>
      <c r="AD12" s="54"/>
      <c r="AE12" s="54"/>
      <c r="AF12" s="54"/>
      <c r="AG12" s="54"/>
      <c r="AH12" s="54"/>
    </row>
    <row r="13" spans="1:34" ht="17.100000000000001" customHeight="1" x14ac:dyDescent="0.3">
      <c r="A13" s="34" t="s">
        <v>49</v>
      </c>
      <c r="B13" s="16" t="s">
        <v>22</v>
      </c>
      <c r="C13" s="16" t="s">
        <v>50</v>
      </c>
      <c r="D13" s="35">
        <v>25.5</v>
      </c>
      <c r="E13" s="35">
        <v>22.445</v>
      </c>
      <c r="F13" s="16">
        <v>2015</v>
      </c>
      <c r="G13" s="36">
        <v>20</v>
      </c>
      <c r="H13" s="28">
        <f t="shared" si="0"/>
        <v>78.431372549019613</v>
      </c>
      <c r="I13" s="30">
        <f t="shared" si="1"/>
        <v>88.019607843137251</v>
      </c>
      <c r="J13" s="44">
        <v>1010</v>
      </c>
      <c r="K13" s="30">
        <v>573</v>
      </c>
      <c r="L13" s="30">
        <v>860</v>
      </c>
      <c r="M13" s="32">
        <v>13.3</v>
      </c>
      <c r="N13" s="33">
        <f t="shared" si="2"/>
        <v>8.7148126577363622E-2</v>
      </c>
    </row>
    <row r="14" spans="1:34" ht="17.100000000000001" customHeight="1" x14ac:dyDescent="0.3">
      <c r="A14" s="52" t="s">
        <v>570</v>
      </c>
      <c r="B14" s="52" t="s">
        <v>14</v>
      </c>
      <c r="C14" s="53" t="s">
        <v>571</v>
      </c>
      <c r="D14" s="28">
        <v>6.9</v>
      </c>
      <c r="E14" s="28">
        <v>10.119999999999999</v>
      </c>
      <c r="F14" s="52">
        <v>2015</v>
      </c>
      <c r="G14" s="28">
        <v>8</v>
      </c>
      <c r="H14" s="28">
        <f t="shared" si="0"/>
        <v>115.94202898550725</v>
      </c>
      <c r="I14" s="30">
        <f t="shared" si="1"/>
        <v>146.66666666666666</v>
      </c>
      <c r="J14" s="21">
        <v>1721</v>
      </c>
      <c r="K14" s="21">
        <v>960</v>
      </c>
      <c r="L14" s="21">
        <v>980</v>
      </c>
      <c r="M14" s="20">
        <v>26.1</v>
      </c>
      <c r="N14" s="33">
        <f t="shared" si="2"/>
        <v>8.5221770288591903E-2</v>
      </c>
    </row>
    <row r="15" spans="1:34" ht="17.100000000000001" customHeight="1" x14ac:dyDescent="0.3">
      <c r="A15" s="42" t="s">
        <v>366</v>
      </c>
      <c r="B15" s="17" t="s">
        <v>11</v>
      </c>
      <c r="C15" s="17" t="s">
        <v>367</v>
      </c>
      <c r="D15" s="43">
        <v>1.20000004768372</v>
      </c>
      <c r="E15" s="43">
        <v>1.5329999923706099</v>
      </c>
      <c r="F15" s="17">
        <v>2014</v>
      </c>
      <c r="G15" s="36">
        <v>1.20000004768372</v>
      </c>
      <c r="H15" s="28">
        <f t="shared" si="0"/>
        <v>100</v>
      </c>
      <c r="I15" s="30">
        <f t="shared" si="1"/>
        <v>127.74999428788836</v>
      </c>
      <c r="J15" s="31">
        <v>1501</v>
      </c>
      <c r="K15" s="30">
        <v>710</v>
      </c>
      <c r="L15" s="30">
        <v>1258</v>
      </c>
      <c r="M15" s="32">
        <v>10.4</v>
      </c>
      <c r="N15" s="33">
        <f t="shared" si="2"/>
        <v>8.5109922909985578E-2</v>
      </c>
      <c r="O15" s="54"/>
      <c r="P15" s="54"/>
      <c r="Q15" s="54"/>
      <c r="S15" s="54"/>
      <c r="T15" s="54"/>
      <c r="U15" s="54"/>
      <c r="V15" s="54"/>
      <c r="W15" s="54"/>
      <c r="X15" s="54"/>
      <c r="Y15" s="54"/>
      <c r="Z15" s="54"/>
      <c r="AA15" s="54"/>
      <c r="AB15" s="54"/>
      <c r="AC15" s="54"/>
      <c r="AD15" s="54"/>
      <c r="AE15" s="54"/>
      <c r="AF15" s="54"/>
      <c r="AG15" s="54"/>
      <c r="AH15" s="54"/>
    </row>
    <row r="16" spans="1:34" ht="17.100000000000001" customHeight="1" x14ac:dyDescent="0.3">
      <c r="A16" s="34" t="s">
        <v>51</v>
      </c>
      <c r="B16" s="16" t="s">
        <v>7</v>
      </c>
      <c r="C16" s="16" t="s">
        <v>52</v>
      </c>
      <c r="D16" s="35">
        <v>20.3</v>
      </c>
      <c r="E16" s="35">
        <v>18.527760000000001</v>
      </c>
      <c r="F16" s="16">
        <v>2014</v>
      </c>
      <c r="G16" s="36">
        <v>20.0044</v>
      </c>
      <c r="H16" s="28">
        <f t="shared" si="0"/>
        <v>98.543842364532026</v>
      </c>
      <c r="I16" s="30">
        <f t="shared" si="1"/>
        <v>91.269753694581283</v>
      </c>
      <c r="J16" s="44">
        <v>1080</v>
      </c>
      <c r="K16" s="39">
        <v>565</v>
      </c>
      <c r="L16" s="40">
        <v>979</v>
      </c>
      <c r="M16" s="41">
        <v>9.6999999999999993</v>
      </c>
      <c r="N16" s="33">
        <f t="shared" si="2"/>
        <v>8.4509031198686371E-2</v>
      </c>
    </row>
    <row r="17" spans="1:34" ht="17.100000000000001" customHeight="1" x14ac:dyDescent="0.3">
      <c r="A17" s="27" t="s">
        <v>575</v>
      </c>
      <c r="B17" s="27" t="s">
        <v>11</v>
      </c>
      <c r="C17" s="26" t="s">
        <v>576</v>
      </c>
      <c r="D17" s="29">
        <v>26.8</v>
      </c>
      <c r="E17" s="29">
        <v>29</v>
      </c>
      <c r="F17" s="27">
        <v>2017</v>
      </c>
      <c r="G17" s="29">
        <v>27</v>
      </c>
      <c r="H17" s="28">
        <f t="shared" si="0"/>
        <v>100.74626865671642</v>
      </c>
      <c r="I17" s="30">
        <f t="shared" si="1"/>
        <v>108.20895522388059</v>
      </c>
      <c r="J17" s="31">
        <v>1297</v>
      </c>
      <c r="K17" s="31">
        <v>705</v>
      </c>
      <c r="L17" s="31">
        <v>935</v>
      </c>
      <c r="M17" s="32">
        <v>14.3</v>
      </c>
      <c r="N17" s="33">
        <f t="shared" si="2"/>
        <v>8.3430189070069855E-2</v>
      </c>
      <c r="O17" s="9"/>
      <c r="Q17" s="4"/>
      <c r="S17" s="8"/>
      <c r="T17" s="8"/>
      <c r="U17" s="8"/>
      <c r="V17" s="4"/>
      <c r="W17" s="8"/>
      <c r="X17" s="8"/>
      <c r="Y17" s="8"/>
      <c r="Z17" s="8"/>
      <c r="AA17" s="8"/>
      <c r="AB17" s="4"/>
      <c r="AC17" s="8"/>
      <c r="AD17" s="8"/>
      <c r="AE17" s="8"/>
      <c r="AF17" s="8"/>
      <c r="AG17" s="8"/>
      <c r="AH17" s="4"/>
    </row>
    <row r="18" spans="1:34" ht="17.100000000000001" customHeight="1" x14ac:dyDescent="0.3">
      <c r="A18" s="42" t="s">
        <v>408</v>
      </c>
      <c r="B18" s="17" t="s">
        <v>11</v>
      </c>
      <c r="C18" s="17" t="s">
        <v>409</v>
      </c>
      <c r="D18" s="43">
        <v>15.699999809265099</v>
      </c>
      <c r="E18" s="43">
        <v>18.899999618530298</v>
      </c>
      <c r="F18" s="17">
        <v>2015</v>
      </c>
      <c r="G18" s="36">
        <v>15</v>
      </c>
      <c r="H18" s="28">
        <f t="shared" si="0"/>
        <v>95.541402434591078</v>
      </c>
      <c r="I18" s="30">
        <f t="shared" si="1"/>
        <v>120.38216463784141</v>
      </c>
      <c r="J18" s="31">
        <v>1450</v>
      </c>
      <c r="K18" s="40">
        <v>705</v>
      </c>
      <c r="L18" s="40">
        <v>1232</v>
      </c>
      <c r="M18" s="32">
        <v>9.6999999999999993</v>
      </c>
      <c r="N18" s="33">
        <f t="shared" si="2"/>
        <v>8.3022182508856152E-2</v>
      </c>
      <c r="O18" s="9"/>
      <c r="Q18" s="4"/>
      <c r="S18" s="8"/>
      <c r="T18" s="8"/>
      <c r="U18" s="8"/>
      <c r="V18" s="4"/>
      <c r="W18" s="8"/>
      <c r="X18" s="8"/>
      <c r="Y18" s="8"/>
      <c r="Z18" s="8"/>
      <c r="AA18" s="8"/>
      <c r="AB18" s="4"/>
      <c r="AC18" s="8"/>
      <c r="AD18" s="8"/>
      <c r="AE18" s="8"/>
      <c r="AF18" s="8"/>
      <c r="AG18" s="8"/>
      <c r="AH18" s="4"/>
    </row>
    <row r="19" spans="1:34" ht="17.100000000000001" customHeight="1" x14ac:dyDescent="0.3">
      <c r="A19" s="42" t="s">
        <v>428</v>
      </c>
      <c r="B19" s="17" t="s">
        <v>11</v>
      </c>
      <c r="C19" s="17" t="s">
        <v>429</v>
      </c>
      <c r="D19" s="43">
        <v>13.8999996185303</v>
      </c>
      <c r="E19" s="43">
        <v>16.170000076293899</v>
      </c>
      <c r="F19" s="17">
        <v>2018</v>
      </c>
      <c r="G19" s="36">
        <v>13.699999809265099</v>
      </c>
      <c r="H19" s="28">
        <f t="shared" si="0"/>
        <v>98.56115241184196</v>
      </c>
      <c r="I19" s="30">
        <f t="shared" si="1"/>
        <v>116.33093899324592</v>
      </c>
      <c r="J19" s="31">
        <v>1407</v>
      </c>
      <c r="K19" s="40">
        <v>696</v>
      </c>
      <c r="L19" s="40">
        <v>1212</v>
      </c>
      <c r="M19" s="41">
        <v>15.6</v>
      </c>
      <c r="N19" s="33">
        <f t="shared" si="2"/>
        <v>8.2680127216237326E-2</v>
      </c>
      <c r="O19" s="54"/>
      <c r="Q19" s="54"/>
      <c r="S19" s="54"/>
      <c r="T19" s="54"/>
      <c r="U19" s="54"/>
      <c r="V19" s="54"/>
      <c r="W19" s="54"/>
      <c r="X19" s="54"/>
      <c r="Y19" s="54"/>
      <c r="Z19" s="54"/>
      <c r="AA19" s="54"/>
      <c r="AB19" s="54"/>
      <c r="AC19" s="54"/>
      <c r="AD19" s="54"/>
      <c r="AE19" s="54"/>
      <c r="AF19" s="54"/>
      <c r="AG19" s="54"/>
      <c r="AH19" s="54"/>
    </row>
    <row r="20" spans="1:34" ht="17.100000000000001" customHeight="1" x14ac:dyDescent="0.3">
      <c r="A20" s="34" t="s">
        <v>53</v>
      </c>
      <c r="B20" s="16" t="s">
        <v>11</v>
      </c>
      <c r="C20" s="16" t="s">
        <v>54</v>
      </c>
      <c r="D20" s="35">
        <v>42.9</v>
      </c>
      <c r="E20" s="35">
        <v>49</v>
      </c>
      <c r="F20" s="16">
        <v>2015</v>
      </c>
      <c r="G20" s="36">
        <v>42.9</v>
      </c>
      <c r="H20" s="28">
        <f t="shared" si="0"/>
        <v>100</v>
      </c>
      <c r="I20" s="30">
        <f t="shared" si="1"/>
        <v>114.21911421911422</v>
      </c>
      <c r="J20" s="44">
        <v>1388</v>
      </c>
      <c r="K20" s="39">
        <v>723</v>
      </c>
      <c r="L20" s="40">
        <v>1042</v>
      </c>
      <c r="M20" s="41">
        <v>16.7</v>
      </c>
      <c r="N20" s="33">
        <f t="shared" si="2"/>
        <v>8.2290428111753758E-2</v>
      </c>
    </row>
    <row r="21" spans="1:34" ht="17.100000000000001" customHeight="1" x14ac:dyDescent="0.3">
      <c r="A21" s="45" t="s">
        <v>55</v>
      </c>
      <c r="B21" s="18" t="s">
        <v>22</v>
      </c>
      <c r="C21" s="18" t="s">
        <v>56</v>
      </c>
      <c r="D21" s="46">
        <v>10.6</v>
      </c>
      <c r="E21" s="46">
        <v>8.73</v>
      </c>
      <c r="F21" s="18">
        <v>2014</v>
      </c>
      <c r="G21" s="36">
        <v>10.86</v>
      </c>
      <c r="H21" s="28">
        <f t="shared" si="0"/>
        <v>102.45283018867924</v>
      </c>
      <c r="I21" s="30">
        <f t="shared" si="1"/>
        <v>82.35849056603773</v>
      </c>
      <c r="J21" s="44">
        <v>1020</v>
      </c>
      <c r="K21" s="30">
        <v>578</v>
      </c>
      <c r="L21" s="30">
        <v>856</v>
      </c>
      <c r="M21" s="32">
        <v>16.7</v>
      </c>
      <c r="N21" s="33">
        <f t="shared" si="2"/>
        <v>8.0743618201997769E-2</v>
      </c>
      <c r="O21" s="9"/>
      <c r="Q21" s="4"/>
      <c r="S21" s="8"/>
      <c r="T21" s="8"/>
      <c r="U21" s="8"/>
      <c r="V21" s="4"/>
      <c r="W21" s="8"/>
      <c r="X21" s="8"/>
      <c r="Y21" s="8"/>
      <c r="Z21" s="8"/>
      <c r="AA21" s="8"/>
      <c r="AB21" s="4"/>
      <c r="AC21" s="8"/>
      <c r="AD21" s="8"/>
      <c r="AE21" s="8"/>
      <c r="AF21" s="8"/>
      <c r="AG21" s="8"/>
      <c r="AH21" s="4"/>
    </row>
    <row r="22" spans="1:34" ht="17.100000000000001" customHeight="1" x14ac:dyDescent="0.3">
      <c r="A22" s="42" t="s">
        <v>503</v>
      </c>
      <c r="B22" s="17" t="s">
        <v>22</v>
      </c>
      <c r="C22" s="17" t="s">
        <v>504</v>
      </c>
      <c r="D22" s="43">
        <v>7</v>
      </c>
      <c r="E22" s="43">
        <v>5.8000001907348597</v>
      </c>
      <c r="F22" s="17">
        <v>2016</v>
      </c>
      <c r="G22" s="36">
        <v>6.3000001907348597</v>
      </c>
      <c r="H22" s="28">
        <f t="shared" si="0"/>
        <v>90.000002724783712</v>
      </c>
      <c r="I22" s="30">
        <f t="shared" si="1"/>
        <v>82.857145581926559</v>
      </c>
      <c r="J22" s="31">
        <v>1028</v>
      </c>
      <c r="K22" s="40">
        <v>573</v>
      </c>
      <c r="L22" s="31">
        <v>870</v>
      </c>
      <c r="M22" s="32">
        <v>9.9</v>
      </c>
      <c r="N22" s="33">
        <f t="shared" si="2"/>
        <v>8.0600336169189254E-2</v>
      </c>
    </row>
    <row r="23" spans="1:34" ht="17.100000000000001" customHeight="1" x14ac:dyDescent="0.3">
      <c r="A23" s="45" t="s">
        <v>57</v>
      </c>
      <c r="B23" s="18" t="s">
        <v>6</v>
      </c>
      <c r="C23" s="18" t="s">
        <v>58</v>
      </c>
      <c r="D23" s="46">
        <v>17.5</v>
      </c>
      <c r="E23" s="46">
        <v>18</v>
      </c>
      <c r="F23" s="18">
        <v>2015</v>
      </c>
      <c r="G23" s="36">
        <v>12</v>
      </c>
      <c r="H23" s="28">
        <f t="shared" si="0"/>
        <v>68.571428571428569</v>
      </c>
      <c r="I23" s="30">
        <f t="shared" si="1"/>
        <v>102.85714285714286</v>
      </c>
      <c r="J23" s="44">
        <v>1307</v>
      </c>
      <c r="K23" s="39">
        <v>575</v>
      </c>
      <c r="L23" s="40">
        <v>1329</v>
      </c>
      <c r="M23" s="41">
        <v>10.5</v>
      </c>
      <c r="N23" s="33">
        <f t="shared" si="2"/>
        <v>7.8697125368892784E-2</v>
      </c>
    </row>
    <row r="24" spans="1:34" ht="17.100000000000001" customHeight="1" x14ac:dyDescent="0.3">
      <c r="A24" s="42" t="s">
        <v>458</v>
      </c>
      <c r="B24" s="17" t="s">
        <v>6</v>
      </c>
      <c r="C24" s="17" t="s">
        <v>459</v>
      </c>
      <c r="D24" s="43">
        <v>8.1999998092651403</v>
      </c>
      <c r="E24" s="43">
        <v>8.3636102676391602</v>
      </c>
      <c r="F24" s="17">
        <v>2014</v>
      </c>
      <c r="G24" s="36">
        <v>5.0668802261352504</v>
      </c>
      <c r="H24" s="28">
        <f t="shared" si="0"/>
        <v>61.791223707227495</v>
      </c>
      <c r="I24" s="30">
        <f t="shared" si="1"/>
        <v>101.99524953877631</v>
      </c>
      <c r="J24" s="31">
        <v>1307</v>
      </c>
      <c r="K24" s="40">
        <v>619</v>
      </c>
      <c r="L24" s="30">
        <v>1222</v>
      </c>
      <c r="M24" s="32">
        <v>10.5</v>
      </c>
      <c r="N24" s="33">
        <f t="shared" si="2"/>
        <v>7.8037681360961217E-2</v>
      </c>
    </row>
    <row r="25" spans="1:34" ht="17.100000000000001" customHeight="1" x14ac:dyDescent="0.3">
      <c r="A25" s="27" t="s">
        <v>587</v>
      </c>
      <c r="B25" s="27" t="s">
        <v>11</v>
      </c>
      <c r="C25" s="26" t="s">
        <v>588</v>
      </c>
      <c r="D25" s="29">
        <v>55.2</v>
      </c>
      <c r="E25" s="29">
        <v>59.264000000000003</v>
      </c>
      <c r="F25" s="27">
        <v>2019</v>
      </c>
      <c r="G25" s="29">
        <v>50.015999999999998</v>
      </c>
      <c r="H25" s="28">
        <f t="shared" si="0"/>
        <v>90.608695652173907</v>
      </c>
      <c r="I25" s="30">
        <f t="shared" si="1"/>
        <v>107.3623188405797</v>
      </c>
      <c r="J25" s="31">
        <v>1397</v>
      </c>
      <c r="K25" s="31">
        <v>717</v>
      </c>
      <c r="L25" s="31">
        <v>1070</v>
      </c>
      <c r="M25" s="32">
        <v>15.9</v>
      </c>
      <c r="N25" s="33">
        <f t="shared" si="2"/>
        <v>7.6852053572354834E-2</v>
      </c>
    </row>
    <row r="26" spans="1:34" ht="17.100000000000001" customHeight="1" x14ac:dyDescent="0.3">
      <c r="A26" s="42" t="s">
        <v>489</v>
      </c>
      <c r="B26" s="17" t="s">
        <v>6</v>
      </c>
      <c r="C26" s="17" t="s">
        <v>490</v>
      </c>
      <c r="D26" s="43">
        <v>9.8999996185302699</v>
      </c>
      <c r="E26" s="43">
        <v>8.7876930236816406</v>
      </c>
      <c r="F26" s="17">
        <v>2015</v>
      </c>
      <c r="G26" s="36">
        <v>5.3238000869751003</v>
      </c>
      <c r="H26" s="28">
        <f t="shared" si="0"/>
        <v>53.775760526397463</v>
      </c>
      <c r="I26" s="30">
        <f t="shared" si="1"/>
        <v>88.76457941708729</v>
      </c>
      <c r="J26" s="31">
        <v>1156</v>
      </c>
      <c r="K26" s="40">
        <v>583</v>
      </c>
      <c r="L26" s="40">
        <v>1056</v>
      </c>
      <c r="M26" s="41">
        <v>10.6</v>
      </c>
      <c r="N26" s="33">
        <f t="shared" si="2"/>
        <v>7.6785968353881739E-2</v>
      </c>
    </row>
    <row r="27" spans="1:34" ht="17.100000000000001" customHeight="1" x14ac:dyDescent="0.3">
      <c r="A27" s="42" t="s">
        <v>432</v>
      </c>
      <c r="B27" s="17" t="s">
        <v>11</v>
      </c>
      <c r="C27" s="17" t="s">
        <v>433</v>
      </c>
      <c r="D27" s="43">
        <v>10.800000190734901</v>
      </c>
      <c r="E27" s="43">
        <v>11.584430694580099</v>
      </c>
      <c r="F27" s="17">
        <v>2015</v>
      </c>
      <c r="G27" s="36">
        <v>9.3999996185302699</v>
      </c>
      <c r="H27" s="28">
        <f t="shared" si="0"/>
        <v>87.037031967780308</v>
      </c>
      <c r="I27" s="30">
        <f t="shared" si="1"/>
        <v>107.26324527770049</v>
      </c>
      <c r="J27" s="31">
        <v>1402</v>
      </c>
      <c r="K27" s="40">
        <v>714</v>
      </c>
      <c r="L27" s="40">
        <v>1110</v>
      </c>
      <c r="M27" s="41">
        <v>15.7</v>
      </c>
      <c r="N27" s="33">
        <f t="shared" si="2"/>
        <v>7.6507307616048847E-2</v>
      </c>
    </row>
    <row r="28" spans="1:34" ht="17.100000000000001" customHeight="1" x14ac:dyDescent="0.3">
      <c r="A28" s="27" t="s">
        <v>593</v>
      </c>
      <c r="B28" s="27" t="s">
        <v>128</v>
      </c>
      <c r="C28" s="26" t="s">
        <v>594</v>
      </c>
      <c r="D28" s="29">
        <v>12.5</v>
      </c>
      <c r="E28" s="29">
        <v>14.269</v>
      </c>
      <c r="F28" s="27">
        <v>2014</v>
      </c>
      <c r="G28" s="29">
        <v>11.18</v>
      </c>
      <c r="H28" s="28">
        <f t="shared" si="0"/>
        <v>89.44</v>
      </c>
      <c r="I28" s="30">
        <f t="shared" si="1"/>
        <v>114.152</v>
      </c>
      <c r="J28" s="31">
        <v>1503</v>
      </c>
      <c r="K28" s="31">
        <v>620</v>
      </c>
      <c r="L28" s="31">
        <v>1538</v>
      </c>
      <c r="M28" s="32">
        <v>12</v>
      </c>
      <c r="N28" s="33">
        <f t="shared" si="2"/>
        <v>7.5949434464404525E-2</v>
      </c>
    </row>
    <row r="29" spans="1:34" ht="17.100000000000001" customHeight="1" x14ac:dyDescent="0.3">
      <c r="A29" s="27" t="s">
        <v>659</v>
      </c>
      <c r="B29" s="27" t="s">
        <v>128</v>
      </c>
      <c r="C29" s="26" t="s">
        <v>660</v>
      </c>
      <c r="D29" s="29">
        <v>92.2</v>
      </c>
      <c r="E29" s="29">
        <v>151.68</v>
      </c>
      <c r="F29" s="27">
        <v>2016</v>
      </c>
      <c r="G29" s="29">
        <v>67.7</v>
      </c>
      <c r="H29" s="28">
        <f t="shared" si="0"/>
        <v>73.427331887201731</v>
      </c>
      <c r="I29" s="30">
        <f t="shared" si="1"/>
        <v>164.5119305856833</v>
      </c>
      <c r="J29" s="31">
        <v>2182</v>
      </c>
      <c r="K29" s="31">
        <v>419</v>
      </c>
      <c r="L29" s="31">
        <v>2963</v>
      </c>
      <c r="M29" s="32">
        <v>16.3</v>
      </c>
      <c r="N29" s="33">
        <f t="shared" si="2"/>
        <v>7.5395018600221492E-2</v>
      </c>
    </row>
    <row r="30" spans="1:34" ht="17.100000000000001" customHeight="1" x14ac:dyDescent="0.3">
      <c r="A30" s="42" t="s">
        <v>382</v>
      </c>
      <c r="B30" s="17" t="s">
        <v>11</v>
      </c>
      <c r="C30" s="17" t="s">
        <v>383</v>
      </c>
      <c r="D30" s="43">
        <v>8.6000003814697301</v>
      </c>
      <c r="E30" s="43">
        <v>9.6126127243041992</v>
      </c>
      <c r="F30" s="17">
        <v>2014</v>
      </c>
      <c r="G30" s="36">
        <v>7.8000001907348597</v>
      </c>
      <c r="H30" s="28">
        <f t="shared" si="0"/>
        <v>90.697672613380149</v>
      </c>
      <c r="I30" s="30">
        <f t="shared" si="1"/>
        <v>111.77456160369861</v>
      </c>
      <c r="J30" s="31">
        <v>1484</v>
      </c>
      <c r="K30" s="40">
        <v>710</v>
      </c>
      <c r="L30" s="40">
        <v>1227</v>
      </c>
      <c r="M30" s="41">
        <v>18.600000000000001</v>
      </c>
      <c r="N30" s="33">
        <f t="shared" si="2"/>
        <v>7.5319785447236262E-2</v>
      </c>
    </row>
    <row r="31" spans="1:34" ht="17.100000000000001" customHeight="1" x14ac:dyDescent="0.3">
      <c r="A31" s="27" t="s">
        <v>579</v>
      </c>
      <c r="B31" s="27" t="s">
        <v>11</v>
      </c>
      <c r="C31" s="26" t="s">
        <v>580</v>
      </c>
      <c r="D31" s="29">
        <v>5.9</v>
      </c>
      <c r="E31" s="29">
        <v>6.2750000000000004</v>
      </c>
      <c r="F31" s="27">
        <v>2017</v>
      </c>
      <c r="G31" s="29">
        <v>5.8</v>
      </c>
      <c r="H31" s="28">
        <f t="shared" si="0"/>
        <v>98.305084745762713</v>
      </c>
      <c r="I31" s="30">
        <f t="shared" si="1"/>
        <v>106.35593220338983</v>
      </c>
      <c r="J31" s="31">
        <v>1414</v>
      </c>
      <c r="K31" s="31">
        <v>737</v>
      </c>
      <c r="L31" s="31">
        <v>1112</v>
      </c>
      <c r="M31" s="32">
        <v>12.9</v>
      </c>
      <c r="N31" s="33">
        <f t="shared" si="2"/>
        <v>7.5216359408337929E-2</v>
      </c>
      <c r="O31" s="54"/>
      <c r="Q31" s="54"/>
      <c r="S31" s="54"/>
      <c r="T31" s="54"/>
      <c r="U31" s="54"/>
      <c r="V31" s="54"/>
      <c r="W31" s="54"/>
      <c r="X31" s="54"/>
      <c r="Y31" s="54"/>
      <c r="Z31" s="54"/>
      <c r="AA31" s="54"/>
      <c r="AB31" s="54"/>
      <c r="AC31" s="54"/>
      <c r="AD31" s="54"/>
      <c r="AE31" s="54"/>
      <c r="AF31" s="54"/>
      <c r="AG31" s="54"/>
      <c r="AH31" s="54"/>
    </row>
    <row r="32" spans="1:34" ht="17.100000000000001" customHeight="1" x14ac:dyDescent="0.3">
      <c r="A32" s="27" t="s">
        <v>633</v>
      </c>
      <c r="B32" s="27" t="s">
        <v>128</v>
      </c>
      <c r="C32" s="26" t="s">
        <v>634</v>
      </c>
      <c r="D32" s="29">
        <v>34.5</v>
      </c>
      <c r="E32" s="29">
        <v>56.415999999999997</v>
      </c>
      <c r="F32" s="27">
        <v>2016</v>
      </c>
      <c r="G32" s="29">
        <v>26.3</v>
      </c>
      <c r="H32" s="28">
        <f t="shared" si="0"/>
        <v>76.231884057971016</v>
      </c>
      <c r="I32" s="30">
        <f t="shared" si="1"/>
        <v>163.52463768115942</v>
      </c>
      <c r="J32" s="31">
        <v>2182</v>
      </c>
      <c r="K32" s="31">
        <v>426</v>
      </c>
      <c r="L32" s="31">
        <v>2948</v>
      </c>
      <c r="M32" s="32">
        <v>16.3</v>
      </c>
      <c r="N32" s="33">
        <f t="shared" si="2"/>
        <v>7.4942547058276548E-2</v>
      </c>
    </row>
    <row r="33" spans="1:34" ht="17.100000000000001" customHeight="1" x14ac:dyDescent="0.3">
      <c r="A33" s="45" t="s">
        <v>59</v>
      </c>
      <c r="B33" s="18" t="s">
        <v>18</v>
      </c>
      <c r="C33" s="18" t="s">
        <v>60</v>
      </c>
      <c r="D33" s="46">
        <v>82.7</v>
      </c>
      <c r="E33" s="46">
        <v>125</v>
      </c>
      <c r="F33" s="18">
        <v>2016</v>
      </c>
      <c r="G33" s="36">
        <v>57.65</v>
      </c>
      <c r="H33" s="28">
        <f t="shared" si="0"/>
        <v>69.709794437726728</v>
      </c>
      <c r="I33" s="30">
        <f t="shared" si="1"/>
        <v>151.14873035066506</v>
      </c>
      <c r="J33" s="44">
        <v>2030</v>
      </c>
      <c r="K33" s="39">
        <v>720</v>
      </c>
      <c r="L33" s="40">
        <v>1926</v>
      </c>
      <c r="M33" s="41">
        <v>26.2</v>
      </c>
      <c r="N33" s="33">
        <f t="shared" si="2"/>
        <v>7.4457502635795592E-2</v>
      </c>
    </row>
    <row r="34" spans="1:34" ht="17.100000000000001" customHeight="1" x14ac:dyDescent="0.3">
      <c r="A34" s="27" t="s">
        <v>599</v>
      </c>
      <c r="B34" s="27" t="s">
        <v>128</v>
      </c>
      <c r="C34" s="26" t="s">
        <v>600</v>
      </c>
      <c r="D34" s="29">
        <v>7.3</v>
      </c>
      <c r="E34" s="29">
        <v>8.1</v>
      </c>
      <c r="F34" s="27">
        <v>2014</v>
      </c>
      <c r="G34" s="29">
        <v>6.31</v>
      </c>
      <c r="H34" s="28">
        <f t="shared" si="0"/>
        <v>86.438356164383563</v>
      </c>
      <c r="I34" s="30">
        <f t="shared" si="1"/>
        <v>110.95890410958904</v>
      </c>
      <c r="J34" s="31">
        <v>1491</v>
      </c>
      <c r="K34" s="31">
        <v>616</v>
      </c>
      <c r="L34" s="31">
        <v>1532</v>
      </c>
      <c r="M34" s="32">
        <v>11.5</v>
      </c>
      <c r="N34" s="33">
        <f t="shared" si="2"/>
        <v>7.4419117444392377E-2</v>
      </c>
    </row>
    <row r="35" spans="1:34" ht="17.100000000000001" customHeight="1" x14ac:dyDescent="0.3">
      <c r="A35" s="42" t="s">
        <v>412</v>
      </c>
      <c r="B35" s="17" t="s">
        <v>11</v>
      </c>
      <c r="C35" s="17" t="s">
        <v>413</v>
      </c>
      <c r="D35" s="43">
        <v>12.6000003814697</v>
      </c>
      <c r="E35" s="43">
        <v>13.556248664856</v>
      </c>
      <c r="F35" s="17">
        <v>2015</v>
      </c>
      <c r="G35" s="36">
        <v>11</v>
      </c>
      <c r="H35" s="28">
        <f t="shared" si="0"/>
        <v>87.301584658499252</v>
      </c>
      <c r="I35" s="30">
        <f t="shared" si="1"/>
        <v>107.58927186059942</v>
      </c>
      <c r="J35" s="31">
        <v>1447</v>
      </c>
      <c r="K35" s="40">
        <v>711</v>
      </c>
      <c r="L35" s="30">
        <v>1167</v>
      </c>
      <c r="M35" s="32">
        <v>26.2</v>
      </c>
      <c r="N35" s="33">
        <f t="shared" si="2"/>
        <v>7.4353332315549012E-2</v>
      </c>
    </row>
    <row r="36" spans="1:34" ht="17.100000000000001" customHeight="1" x14ac:dyDescent="0.3">
      <c r="A36" s="27" t="s">
        <v>589</v>
      </c>
      <c r="B36" s="27" t="s">
        <v>11</v>
      </c>
      <c r="C36" s="26" t="s">
        <v>590</v>
      </c>
      <c r="D36" s="29">
        <v>49.7</v>
      </c>
      <c r="E36" s="29">
        <v>52.5</v>
      </c>
      <c r="F36" s="27">
        <v>2016</v>
      </c>
      <c r="G36" s="29">
        <v>44.8</v>
      </c>
      <c r="H36" s="28">
        <f t="shared" si="0"/>
        <v>90.140845070422529</v>
      </c>
      <c r="I36" s="30">
        <f t="shared" si="1"/>
        <v>105.63380281690141</v>
      </c>
      <c r="J36" s="31">
        <v>1443</v>
      </c>
      <c r="K36" s="31">
        <v>714</v>
      </c>
      <c r="L36" s="31">
        <v>11159</v>
      </c>
      <c r="M36" s="32">
        <v>17.2</v>
      </c>
      <c r="N36" s="33">
        <f t="shared" si="2"/>
        <v>7.3204298556411238E-2</v>
      </c>
      <c r="O36" s="9"/>
      <c r="Q36" s="4"/>
      <c r="S36" s="8"/>
      <c r="T36" s="8"/>
      <c r="U36" s="8"/>
      <c r="V36" s="4"/>
      <c r="W36" s="8"/>
      <c r="X36" s="8"/>
      <c r="Y36" s="8"/>
      <c r="Z36" s="8"/>
      <c r="AA36" s="8"/>
      <c r="AB36" s="4"/>
      <c r="AC36" s="8"/>
      <c r="AD36" s="8"/>
      <c r="AE36" s="8"/>
      <c r="AF36" s="8"/>
      <c r="AG36" s="8"/>
      <c r="AH36" s="4"/>
    </row>
    <row r="37" spans="1:34" ht="17.100000000000001" customHeight="1" x14ac:dyDescent="0.3">
      <c r="A37" s="27" t="s">
        <v>591</v>
      </c>
      <c r="B37" s="27" t="s">
        <v>9</v>
      </c>
      <c r="C37" s="26" t="s">
        <v>592</v>
      </c>
      <c r="D37" s="29">
        <v>11.1</v>
      </c>
      <c r="E37" s="29">
        <v>16.2</v>
      </c>
      <c r="F37" s="27">
        <v>2014</v>
      </c>
      <c r="G37" s="29">
        <v>10</v>
      </c>
      <c r="H37" s="28">
        <f t="shared" si="0"/>
        <v>90.090090090090087</v>
      </c>
      <c r="I37" s="30">
        <f t="shared" si="1"/>
        <v>145.94594594594594</v>
      </c>
      <c r="J37" s="31">
        <v>1997</v>
      </c>
      <c r="K37" s="31">
        <v>858</v>
      </c>
      <c r="L37" s="31">
        <v>1700</v>
      </c>
      <c r="M37" s="32">
        <v>27.6</v>
      </c>
      <c r="N37" s="33">
        <f t="shared" si="2"/>
        <v>7.3082596868275382E-2</v>
      </c>
    </row>
    <row r="38" spans="1:34" ht="17.100000000000001" customHeight="1" x14ac:dyDescent="0.3">
      <c r="A38" s="42" t="s">
        <v>380</v>
      </c>
      <c r="B38" s="17" t="s">
        <v>6</v>
      </c>
      <c r="C38" s="17" t="s">
        <v>381</v>
      </c>
      <c r="D38" s="43">
        <v>8.5</v>
      </c>
      <c r="E38" s="43">
        <v>9.2149295806884801</v>
      </c>
      <c r="F38" s="17">
        <v>2014</v>
      </c>
      <c r="G38" s="36">
        <v>5.5826301574706996</v>
      </c>
      <c r="H38" s="28">
        <f t="shared" si="0"/>
        <v>65.678001852596466</v>
      </c>
      <c r="I38" s="30">
        <f t="shared" si="1"/>
        <v>108.41093624339389</v>
      </c>
      <c r="J38" s="31">
        <v>1485</v>
      </c>
      <c r="K38" s="39">
        <v>583</v>
      </c>
      <c r="L38" s="40">
        <v>1573</v>
      </c>
      <c r="M38" s="41">
        <v>13.9</v>
      </c>
      <c r="N38" s="33">
        <f t="shared" si="2"/>
        <v>7.3003997470298912E-2</v>
      </c>
      <c r="O38" s="54"/>
      <c r="Q38" s="54"/>
      <c r="S38" s="54"/>
      <c r="T38" s="54"/>
      <c r="U38" s="54"/>
      <c r="V38" s="54"/>
      <c r="W38" s="54"/>
      <c r="X38" s="54"/>
      <c r="Y38" s="54"/>
      <c r="Z38" s="54"/>
      <c r="AA38" s="54"/>
      <c r="AB38" s="54"/>
      <c r="AC38" s="54"/>
      <c r="AD38" s="54"/>
      <c r="AE38" s="54"/>
      <c r="AF38" s="54"/>
      <c r="AG38" s="54"/>
      <c r="AH38" s="54"/>
    </row>
    <row r="39" spans="1:34" ht="17.100000000000001" customHeight="1" x14ac:dyDescent="0.3">
      <c r="A39" s="45" t="s">
        <v>61</v>
      </c>
      <c r="B39" s="18" t="s">
        <v>3</v>
      </c>
      <c r="C39" s="18" t="s">
        <v>62</v>
      </c>
      <c r="D39" s="46">
        <v>280</v>
      </c>
      <c r="E39" s="46">
        <v>493</v>
      </c>
      <c r="F39" s="18">
        <v>2016</v>
      </c>
      <c r="G39" s="36">
        <v>246.6</v>
      </c>
      <c r="H39" s="28">
        <f t="shared" si="0"/>
        <v>88.071428571428569</v>
      </c>
      <c r="I39" s="30">
        <f t="shared" si="1"/>
        <v>176.07142857142858</v>
      </c>
      <c r="J39" s="47">
        <v>2412</v>
      </c>
      <c r="K39" s="39">
        <v>471</v>
      </c>
      <c r="L39" s="40">
        <v>3093</v>
      </c>
      <c r="M39" s="41">
        <v>16</v>
      </c>
      <c r="N39" s="33">
        <f t="shared" si="2"/>
        <v>7.299810471452263E-2</v>
      </c>
    </row>
    <row r="40" spans="1:34" ht="17.100000000000001" customHeight="1" x14ac:dyDescent="0.3">
      <c r="A40" s="27" t="s">
        <v>585</v>
      </c>
      <c r="B40" s="27" t="s">
        <v>21</v>
      </c>
      <c r="C40" s="26" t="s">
        <v>586</v>
      </c>
      <c r="D40" s="29">
        <v>22.6</v>
      </c>
      <c r="E40" s="29">
        <v>28.5</v>
      </c>
      <c r="F40" s="27">
        <v>2017</v>
      </c>
      <c r="G40" s="29">
        <v>20.6</v>
      </c>
      <c r="H40" s="28">
        <f t="shared" si="0"/>
        <v>91.150442477876112</v>
      </c>
      <c r="I40" s="30">
        <f t="shared" si="1"/>
        <v>126.10619469026548</v>
      </c>
      <c r="J40" s="31">
        <v>1740</v>
      </c>
      <c r="K40" s="31">
        <v>632</v>
      </c>
      <c r="L40" s="31">
        <v>1838</v>
      </c>
      <c r="M40" s="32">
        <v>13.6</v>
      </c>
      <c r="N40" s="33">
        <f t="shared" si="2"/>
        <v>7.2474824534635329E-2</v>
      </c>
    </row>
    <row r="41" spans="1:34" ht="17.100000000000001" customHeight="1" x14ac:dyDescent="0.3">
      <c r="A41" s="27" t="s">
        <v>603</v>
      </c>
      <c r="B41" s="27" t="s">
        <v>128</v>
      </c>
      <c r="C41" s="26" t="s">
        <v>604</v>
      </c>
      <c r="D41" s="29">
        <v>16.7</v>
      </c>
      <c r="E41" s="29">
        <v>19.779</v>
      </c>
      <c r="F41" s="27">
        <v>2015</v>
      </c>
      <c r="G41" s="29">
        <v>13.9946</v>
      </c>
      <c r="H41" s="28">
        <f t="shared" si="0"/>
        <v>83.8</v>
      </c>
      <c r="I41" s="30">
        <f t="shared" si="1"/>
        <v>118.43712574850299</v>
      </c>
      <c r="J41" s="31">
        <v>1643</v>
      </c>
      <c r="K41" s="31">
        <v>640</v>
      </c>
      <c r="L41" s="31">
        <v>1688</v>
      </c>
      <c r="M41" s="32">
        <v>15.2</v>
      </c>
      <c r="N41" s="33">
        <f t="shared" si="2"/>
        <v>7.2085895160379179E-2</v>
      </c>
    </row>
    <row r="42" spans="1:34" ht="17.100000000000001" customHeight="1" x14ac:dyDescent="0.3">
      <c r="A42" s="27" t="s">
        <v>613</v>
      </c>
      <c r="B42" s="27" t="s">
        <v>4</v>
      </c>
      <c r="C42" s="26" t="s">
        <v>614</v>
      </c>
      <c r="D42" s="29">
        <v>186.2</v>
      </c>
      <c r="E42" s="29">
        <v>173.35</v>
      </c>
      <c r="F42" s="27">
        <v>2014</v>
      </c>
      <c r="G42" s="29">
        <v>150</v>
      </c>
      <c r="H42" s="28">
        <f t="shared" si="0"/>
        <v>80.558539205155753</v>
      </c>
      <c r="I42" s="30">
        <f t="shared" si="1"/>
        <v>93.098818474758318</v>
      </c>
      <c r="J42" s="31">
        <v>1293</v>
      </c>
      <c r="K42" s="31">
        <v>778</v>
      </c>
      <c r="L42" s="31">
        <v>766</v>
      </c>
      <c r="M42" s="32">
        <v>15.7</v>
      </c>
      <c r="N42" s="33">
        <f t="shared" si="2"/>
        <v>7.2002179794863355E-2</v>
      </c>
    </row>
    <row r="43" spans="1:34" ht="17.100000000000001" customHeight="1" x14ac:dyDescent="0.3">
      <c r="A43" s="45" t="s">
        <v>63</v>
      </c>
      <c r="B43" s="18" t="s">
        <v>22</v>
      </c>
      <c r="C43" s="18" t="s">
        <v>64</v>
      </c>
      <c r="D43" s="46">
        <v>51.3</v>
      </c>
      <c r="E43" s="46">
        <v>38</v>
      </c>
      <c r="F43" s="18">
        <v>2014</v>
      </c>
      <c r="G43" s="36">
        <v>37.799999999999997</v>
      </c>
      <c r="H43" s="28">
        <f t="shared" si="0"/>
        <v>73.684210526315795</v>
      </c>
      <c r="I43" s="30">
        <f t="shared" si="1"/>
        <v>74.074074074074076</v>
      </c>
      <c r="J43" s="44">
        <v>1030</v>
      </c>
      <c r="K43" s="30">
        <v>576</v>
      </c>
      <c r="L43" s="30">
        <v>864</v>
      </c>
      <c r="M43" s="32">
        <v>16</v>
      </c>
      <c r="N43" s="33">
        <f t="shared" si="2"/>
        <v>7.1916576770945706E-2</v>
      </c>
    </row>
    <row r="44" spans="1:34" ht="17.100000000000001" customHeight="1" x14ac:dyDescent="0.3">
      <c r="A44" s="45" t="s">
        <v>65</v>
      </c>
      <c r="B44" s="18" t="s">
        <v>17</v>
      </c>
      <c r="C44" s="18" t="s">
        <v>66</v>
      </c>
      <c r="D44" s="46">
        <v>56.3</v>
      </c>
      <c r="E44" s="46">
        <v>78.069999999999993</v>
      </c>
      <c r="F44" s="18">
        <v>2016</v>
      </c>
      <c r="G44" s="36">
        <v>50.07</v>
      </c>
      <c r="H44" s="28">
        <f t="shared" si="0"/>
        <v>88.93428063943162</v>
      </c>
      <c r="I44" s="30">
        <f t="shared" si="1"/>
        <v>138.66785079928951</v>
      </c>
      <c r="J44" s="44">
        <v>1936</v>
      </c>
      <c r="K44" s="30">
        <v>792</v>
      </c>
      <c r="L44" s="30">
        <v>1648</v>
      </c>
      <c r="M44" s="32">
        <v>11</v>
      </c>
      <c r="N44" s="33">
        <f t="shared" si="2"/>
        <v>7.1625955991368548E-2</v>
      </c>
    </row>
    <row r="45" spans="1:34" ht="17.100000000000001" customHeight="1" x14ac:dyDescent="0.3">
      <c r="A45" s="27" t="s">
        <v>621</v>
      </c>
      <c r="B45" s="27" t="s">
        <v>22</v>
      </c>
      <c r="C45" s="26" t="s">
        <v>622</v>
      </c>
      <c r="D45" s="29">
        <v>8</v>
      </c>
      <c r="E45" s="29">
        <v>5.5</v>
      </c>
      <c r="F45" s="27">
        <v>2014</v>
      </c>
      <c r="G45" s="29">
        <v>6.3</v>
      </c>
      <c r="H45" s="28">
        <f t="shared" si="0"/>
        <v>78.75</v>
      </c>
      <c r="I45" s="30">
        <f t="shared" si="1"/>
        <v>68.75</v>
      </c>
      <c r="J45" s="31">
        <v>963</v>
      </c>
      <c r="K45" s="31">
        <v>566</v>
      </c>
      <c r="L45" s="31">
        <v>775</v>
      </c>
      <c r="M45" s="32">
        <v>9.6</v>
      </c>
      <c r="N45" s="33">
        <f t="shared" si="2"/>
        <v>7.1391484942886815E-2</v>
      </c>
    </row>
    <row r="46" spans="1:34" ht="17.100000000000001" customHeight="1" x14ac:dyDescent="0.3">
      <c r="A46" s="45" t="s">
        <v>67</v>
      </c>
      <c r="B46" s="18" t="s">
        <v>11</v>
      </c>
      <c r="C46" s="18" t="s">
        <v>68</v>
      </c>
      <c r="D46" s="46">
        <v>36.700000000000003</v>
      </c>
      <c r="E46" s="46">
        <v>37</v>
      </c>
      <c r="F46" s="18">
        <v>2015</v>
      </c>
      <c r="G46" s="36">
        <v>33</v>
      </c>
      <c r="H46" s="28">
        <f t="shared" si="0"/>
        <v>89.918256130790198</v>
      </c>
      <c r="I46" s="30">
        <f t="shared" si="1"/>
        <v>100.81743869209809</v>
      </c>
      <c r="J46" s="44">
        <v>1428</v>
      </c>
      <c r="K46" s="30">
        <v>714</v>
      </c>
      <c r="L46" s="30">
        <v>1137</v>
      </c>
      <c r="M46" s="32">
        <v>25.3</v>
      </c>
      <c r="N46" s="33">
        <f t="shared" si="2"/>
        <v>7.0600447263374014E-2</v>
      </c>
    </row>
    <row r="47" spans="1:34" ht="17.100000000000001" customHeight="1" x14ac:dyDescent="0.3">
      <c r="A47" s="42" t="s">
        <v>501</v>
      </c>
      <c r="B47" s="17" t="s">
        <v>22</v>
      </c>
      <c r="C47" s="17" t="s">
        <v>502</v>
      </c>
      <c r="D47" s="43">
        <v>16.5</v>
      </c>
      <c r="E47" s="43">
        <v>11.8439998626709</v>
      </c>
      <c r="F47" s="17">
        <v>2015</v>
      </c>
      <c r="G47" s="36">
        <v>12</v>
      </c>
      <c r="H47" s="28">
        <f t="shared" si="0"/>
        <v>72.727272727272734</v>
      </c>
      <c r="I47" s="30">
        <f t="shared" si="1"/>
        <v>71.781817349520608</v>
      </c>
      <c r="J47" s="31">
        <v>1037</v>
      </c>
      <c r="K47" s="40">
        <v>578</v>
      </c>
      <c r="L47" s="31">
        <v>879</v>
      </c>
      <c r="M47" s="32">
        <v>15.1</v>
      </c>
      <c r="N47" s="33">
        <f t="shared" si="2"/>
        <v>6.9220653181794226E-2</v>
      </c>
    </row>
    <row r="48" spans="1:34" ht="17.100000000000001" customHeight="1" x14ac:dyDescent="0.3">
      <c r="A48" s="27" t="s">
        <v>607</v>
      </c>
      <c r="B48" s="27" t="s">
        <v>128</v>
      </c>
      <c r="C48" s="26" t="s">
        <v>608</v>
      </c>
      <c r="D48" s="29">
        <v>8.6</v>
      </c>
      <c r="E48" s="29">
        <v>9.73</v>
      </c>
      <c r="F48" s="27">
        <v>2015</v>
      </c>
      <c r="G48" s="29">
        <v>7.0384000000000002</v>
      </c>
      <c r="H48" s="28">
        <f t="shared" si="0"/>
        <v>81.841860465116284</v>
      </c>
      <c r="I48" s="30">
        <f t="shared" si="1"/>
        <v>113.13953488372093</v>
      </c>
      <c r="J48" s="31">
        <v>1635</v>
      </c>
      <c r="K48" s="31">
        <v>643</v>
      </c>
      <c r="L48" s="31">
        <v>1674</v>
      </c>
      <c r="M48" s="32">
        <v>15.1</v>
      </c>
      <c r="N48" s="33">
        <f t="shared" si="2"/>
        <v>6.9198492283621363E-2</v>
      </c>
    </row>
    <row r="49" spans="1:34" ht="17.100000000000001" customHeight="1" x14ac:dyDescent="0.3">
      <c r="A49" s="27" t="s">
        <v>637</v>
      </c>
      <c r="B49" s="27" t="s">
        <v>4</v>
      </c>
      <c r="C49" s="26" t="s">
        <v>638</v>
      </c>
      <c r="D49" s="29">
        <v>132</v>
      </c>
      <c r="E49" s="29">
        <v>120</v>
      </c>
      <c r="F49" s="27">
        <v>2015</v>
      </c>
      <c r="G49" s="29">
        <v>100</v>
      </c>
      <c r="H49" s="28">
        <f t="shared" si="0"/>
        <v>75.757575757575751</v>
      </c>
      <c r="I49" s="30">
        <f t="shared" si="1"/>
        <v>90.909090909090907</v>
      </c>
      <c r="J49" s="31">
        <v>1316</v>
      </c>
      <c r="K49" s="31">
        <v>796</v>
      </c>
      <c r="L49" s="31">
        <v>778</v>
      </c>
      <c r="M49" s="32">
        <v>15.7</v>
      </c>
      <c r="N49" s="33">
        <f t="shared" si="2"/>
        <v>6.907985631389886E-2</v>
      </c>
      <c r="O49" s="54"/>
      <c r="P49" s="54"/>
      <c r="Q49" s="54"/>
      <c r="S49" s="54"/>
      <c r="T49" s="54"/>
      <c r="U49" s="54"/>
      <c r="V49" s="54"/>
      <c r="W49" s="54"/>
      <c r="X49" s="54"/>
      <c r="Y49" s="54"/>
      <c r="Z49" s="54"/>
      <c r="AA49" s="54"/>
      <c r="AB49" s="54"/>
      <c r="AC49" s="54"/>
      <c r="AD49" s="54"/>
      <c r="AE49" s="54"/>
      <c r="AF49" s="54"/>
      <c r="AG49" s="54"/>
      <c r="AH49" s="54"/>
    </row>
    <row r="50" spans="1:34" ht="17.100000000000001" customHeight="1" x14ac:dyDescent="0.3">
      <c r="A50" s="27" t="s">
        <v>615</v>
      </c>
      <c r="B50" s="27" t="s">
        <v>128</v>
      </c>
      <c r="C50" s="26" t="s">
        <v>616</v>
      </c>
      <c r="D50" s="29">
        <v>10.3</v>
      </c>
      <c r="E50" s="29">
        <v>11.598000000000001</v>
      </c>
      <c r="F50" s="27">
        <v>2016</v>
      </c>
      <c r="G50" s="29">
        <v>8.2113999999999994</v>
      </c>
      <c r="H50" s="28">
        <f t="shared" si="0"/>
        <v>79.722330097087365</v>
      </c>
      <c r="I50" s="30">
        <f t="shared" si="1"/>
        <v>112.60194174757281</v>
      </c>
      <c r="J50" s="31">
        <v>1637</v>
      </c>
      <c r="K50" s="31">
        <v>641</v>
      </c>
      <c r="L50" s="31">
        <v>1683</v>
      </c>
      <c r="M50" s="32">
        <v>14.4</v>
      </c>
      <c r="N50" s="33">
        <f t="shared" si="2"/>
        <v>6.8785547799372515E-2</v>
      </c>
    </row>
    <row r="51" spans="1:34" ht="17.100000000000001" customHeight="1" x14ac:dyDescent="0.3">
      <c r="A51" s="27" t="s">
        <v>581</v>
      </c>
      <c r="B51" s="27" t="s">
        <v>11</v>
      </c>
      <c r="C51" s="26" t="s">
        <v>582</v>
      </c>
      <c r="D51" s="29">
        <v>20</v>
      </c>
      <c r="E51" s="29">
        <v>19</v>
      </c>
      <c r="F51" s="27">
        <v>2016</v>
      </c>
      <c r="G51" s="29">
        <v>19</v>
      </c>
      <c r="H51" s="28">
        <f t="shared" si="0"/>
        <v>95</v>
      </c>
      <c r="I51" s="30">
        <f t="shared" si="1"/>
        <v>95</v>
      </c>
      <c r="J51" s="31">
        <v>1383</v>
      </c>
      <c r="K51" s="31">
        <v>702</v>
      </c>
      <c r="L51" s="31">
        <v>1085</v>
      </c>
      <c r="M51" s="32">
        <v>13.4</v>
      </c>
      <c r="N51" s="33">
        <f t="shared" si="2"/>
        <v>6.8691250903832254E-2</v>
      </c>
    </row>
    <row r="52" spans="1:34" ht="17.100000000000001" customHeight="1" x14ac:dyDescent="0.3">
      <c r="A52" s="34" t="s">
        <v>69</v>
      </c>
      <c r="B52" s="16" t="s">
        <v>7</v>
      </c>
      <c r="C52" s="16" t="s">
        <v>70</v>
      </c>
      <c r="D52" s="35">
        <v>6.7</v>
      </c>
      <c r="E52" s="35">
        <v>4.9087750000000003</v>
      </c>
      <c r="F52" s="16">
        <v>2014</v>
      </c>
      <c r="G52" s="36">
        <v>5.3</v>
      </c>
      <c r="H52" s="28">
        <f t="shared" si="0"/>
        <v>79.104477611940297</v>
      </c>
      <c r="I52" s="30">
        <f t="shared" si="1"/>
        <v>73.265298507462688</v>
      </c>
      <c r="J52" s="44">
        <v>1071</v>
      </c>
      <c r="K52" s="30">
        <v>566</v>
      </c>
      <c r="L52" s="30">
        <v>944</v>
      </c>
      <c r="M52" s="32">
        <v>8</v>
      </c>
      <c r="N52" s="33">
        <f t="shared" si="2"/>
        <v>6.8408308597070672E-2</v>
      </c>
    </row>
    <row r="53" spans="1:34" ht="17.100000000000001" customHeight="1" x14ac:dyDescent="0.3">
      <c r="A53" s="27" t="s">
        <v>719</v>
      </c>
      <c r="B53" s="27" t="s">
        <v>4</v>
      </c>
      <c r="C53" s="26" t="s">
        <v>720</v>
      </c>
      <c r="D53" s="29">
        <v>11.6</v>
      </c>
      <c r="E53" s="29">
        <v>11</v>
      </c>
      <c r="F53" s="27">
        <v>2015</v>
      </c>
      <c r="G53" s="29">
        <v>8</v>
      </c>
      <c r="H53" s="28">
        <f t="shared" si="0"/>
        <v>68.965517241379317</v>
      </c>
      <c r="I53" s="30">
        <f t="shared" si="1"/>
        <v>94.827586206896555</v>
      </c>
      <c r="J53" s="31">
        <v>1387</v>
      </c>
      <c r="K53" s="31">
        <v>801</v>
      </c>
      <c r="L53" s="31">
        <v>933</v>
      </c>
      <c r="M53" s="32">
        <v>14.7</v>
      </c>
      <c r="N53" s="33">
        <f t="shared" si="2"/>
        <v>6.8368843696392609E-2</v>
      </c>
    </row>
    <row r="54" spans="1:34" ht="17.100000000000001" customHeight="1" x14ac:dyDescent="0.3">
      <c r="A54" s="27" t="s">
        <v>623</v>
      </c>
      <c r="B54" s="27" t="s">
        <v>128</v>
      </c>
      <c r="C54" s="26" t="s">
        <v>624</v>
      </c>
      <c r="D54" s="29">
        <v>8.9</v>
      </c>
      <c r="E54" s="29">
        <v>10.061999999999999</v>
      </c>
      <c r="F54" s="27">
        <v>2015</v>
      </c>
      <c r="G54" s="29">
        <v>7.0083000000000002</v>
      </c>
      <c r="H54" s="28">
        <f t="shared" si="0"/>
        <v>78.744943820224719</v>
      </c>
      <c r="I54" s="30">
        <f t="shared" si="1"/>
        <v>113.0561797752809</v>
      </c>
      <c r="J54" s="31">
        <v>1657</v>
      </c>
      <c r="K54" s="31">
        <v>645</v>
      </c>
      <c r="L54" s="31">
        <v>1695</v>
      </c>
      <c r="M54" s="32">
        <v>15.5</v>
      </c>
      <c r="N54" s="33">
        <f t="shared" si="2"/>
        <v>6.8229438609101328E-2</v>
      </c>
    </row>
    <row r="55" spans="1:34" ht="17.100000000000001" customHeight="1" x14ac:dyDescent="0.3">
      <c r="A55" s="34" t="s">
        <v>71</v>
      </c>
      <c r="B55" s="16" t="s">
        <v>17</v>
      </c>
      <c r="C55" s="16" t="s">
        <v>72</v>
      </c>
      <c r="D55" s="35">
        <v>30.9</v>
      </c>
      <c r="E55" s="35">
        <v>40</v>
      </c>
      <c r="F55" s="16">
        <v>2016</v>
      </c>
      <c r="G55" s="36">
        <v>28.59</v>
      </c>
      <c r="H55" s="28">
        <f t="shared" si="0"/>
        <v>92.524271844660191</v>
      </c>
      <c r="I55" s="30">
        <f t="shared" si="1"/>
        <v>129.44983818770226</v>
      </c>
      <c r="J55" s="44">
        <v>1900</v>
      </c>
      <c r="K55" s="30">
        <v>846</v>
      </c>
      <c r="L55" s="30">
        <v>1475</v>
      </c>
      <c r="M55" s="32">
        <v>25</v>
      </c>
      <c r="N55" s="33">
        <f t="shared" si="2"/>
        <v>6.8131493783001193E-2</v>
      </c>
    </row>
    <row r="56" spans="1:34" ht="17.100000000000001" customHeight="1" x14ac:dyDescent="0.3">
      <c r="A56" s="42" t="s">
        <v>462</v>
      </c>
      <c r="B56" s="17" t="s">
        <v>6</v>
      </c>
      <c r="C56" s="17" t="s">
        <v>463</v>
      </c>
      <c r="D56" s="43">
        <v>11.1000003814697</v>
      </c>
      <c r="E56" s="43">
        <v>9.8279781341552699</v>
      </c>
      <c r="F56" s="17">
        <v>2014</v>
      </c>
      <c r="G56" s="36">
        <v>5.9540300369262704</v>
      </c>
      <c r="H56" s="28">
        <f t="shared" si="0"/>
        <v>53.639908399155608</v>
      </c>
      <c r="I56" s="30">
        <f t="shared" si="1"/>
        <v>88.540340508114397</v>
      </c>
      <c r="J56" s="31">
        <v>1304</v>
      </c>
      <c r="K56" s="40">
        <v>625</v>
      </c>
      <c r="L56" s="40">
        <v>1197</v>
      </c>
      <c r="M56" s="41">
        <v>13.4</v>
      </c>
      <c r="N56" s="33">
        <f t="shared" si="2"/>
        <v>6.7899034131989569E-2</v>
      </c>
      <c r="O56" s="9"/>
      <c r="P56" s="10"/>
      <c r="Q56" s="4"/>
      <c r="S56" s="8"/>
      <c r="T56" s="8"/>
      <c r="U56" s="8"/>
      <c r="V56" s="4"/>
      <c r="W56" s="8"/>
      <c r="X56" s="8"/>
      <c r="Y56" s="8"/>
      <c r="Z56" s="8"/>
      <c r="AA56" s="8"/>
      <c r="AB56" s="4"/>
      <c r="AC56" s="8"/>
      <c r="AD56" s="8"/>
      <c r="AE56" s="8"/>
      <c r="AF56" s="8"/>
      <c r="AG56" s="8"/>
      <c r="AH56" s="4"/>
    </row>
    <row r="57" spans="1:34" ht="17.100000000000001" customHeight="1" x14ac:dyDescent="0.3">
      <c r="A57" s="27" t="s">
        <v>715</v>
      </c>
      <c r="B57" s="27" t="s">
        <v>7</v>
      </c>
      <c r="C57" s="26" t="s">
        <v>716</v>
      </c>
      <c r="D57" s="29">
        <v>14.2</v>
      </c>
      <c r="E57" s="29">
        <v>10</v>
      </c>
      <c r="F57" s="27">
        <v>2018</v>
      </c>
      <c r="G57" s="29">
        <v>9.8000000000000007</v>
      </c>
      <c r="H57" s="28">
        <f t="shared" si="0"/>
        <v>69.014084507042256</v>
      </c>
      <c r="I57" s="30">
        <f t="shared" si="1"/>
        <v>70.422535211267601</v>
      </c>
      <c r="J57" s="31">
        <v>1038</v>
      </c>
      <c r="K57" s="31">
        <v>554</v>
      </c>
      <c r="L57" s="31">
        <v>937</v>
      </c>
      <c r="M57" s="32">
        <v>9</v>
      </c>
      <c r="N57" s="33">
        <f t="shared" si="2"/>
        <v>6.7844446253629676E-2</v>
      </c>
    </row>
    <row r="58" spans="1:34" ht="17.100000000000001" customHeight="1" x14ac:dyDescent="0.3">
      <c r="A58" s="27" t="s">
        <v>639</v>
      </c>
      <c r="B58" s="27" t="s">
        <v>128</v>
      </c>
      <c r="C58" s="26" t="s">
        <v>640</v>
      </c>
      <c r="D58" s="29">
        <v>8.6999999999999993</v>
      </c>
      <c r="E58" s="29">
        <v>9.8414999999999999</v>
      </c>
      <c r="F58" s="27">
        <v>2015</v>
      </c>
      <c r="G58" s="29">
        <v>6.5736999999999997</v>
      </c>
      <c r="H58" s="28">
        <f t="shared" si="0"/>
        <v>75.559770114942523</v>
      </c>
      <c r="I58" s="30">
        <f t="shared" si="1"/>
        <v>113.12068965517241</v>
      </c>
      <c r="J58" s="31">
        <v>1668</v>
      </c>
      <c r="K58" s="31">
        <v>642</v>
      </c>
      <c r="L58" s="31">
        <v>1724</v>
      </c>
      <c r="M58" s="32">
        <v>14.7</v>
      </c>
      <c r="N58" s="33">
        <f t="shared" si="2"/>
        <v>6.7818159265690889E-2</v>
      </c>
    </row>
    <row r="59" spans="1:34" ht="17.100000000000001" customHeight="1" x14ac:dyDescent="0.3">
      <c r="A59" s="27" t="s">
        <v>73</v>
      </c>
      <c r="B59" s="27" t="s">
        <v>10</v>
      </c>
      <c r="C59" s="26" t="s">
        <v>74</v>
      </c>
      <c r="D59" s="29">
        <v>61.6</v>
      </c>
      <c r="E59" s="29">
        <v>85</v>
      </c>
      <c r="F59" s="27">
        <v>2016</v>
      </c>
      <c r="G59" s="29">
        <v>50</v>
      </c>
      <c r="H59" s="28">
        <f t="shared" si="0"/>
        <v>81.168831168831176</v>
      </c>
      <c r="I59" s="30">
        <f t="shared" si="1"/>
        <v>137.98701298701297</v>
      </c>
      <c r="J59" s="31">
        <v>2042</v>
      </c>
      <c r="K59" s="31">
        <v>647</v>
      </c>
      <c r="L59" s="31">
        <v>2183</v>
      </c>
      <c r="M59" s="32">
        <v>20.2</v>
      </c>
      <c r="N59" s="33">
        <f t="shared" si="2"/>
        <v>6.7574443186588132E-2</v>
      </c>
      <c r="O59" s="9"/>
      <c r="Q59" s="4"/>
      <c r="S59" s="8"/>
      <c r="T59" s="8"/>
      <c r="U59" s="8"/>
      <c r="V59" s="4"/>
      <c r="W59" s="8"/>
      <c r="X59" s="8"/>
      <c r="Y59" s="8"/>
      <c r="Z59" s="8"/>
      <c r="AA59" s="8"/>
      <c r="AB59" s="4"/>
      <c r="AC59" s="8"/>
      <c r="AD59" s="8"/>
      <c r="AE59" s="8"/>
      <c r="AF59" s="8"/>
      <c r="AG59" s="8"/>
      <c r="AH59" s="4"/>
    </row>
    <row r="60" spans="1:34" ht="17.100000000000001" customHeight="1" x14ac:dyDescent="0.3">
      <c r="A60" s="42" t="s">
        <v>438</v>
      </c>
      <c r="B60" s="17" t="s">
        <v>11</v>
      </c>
      <c r="C60" s="17" t="s">
        <v>439</v>
      </c>
      <c r="D60" s="43">
        <v>10</v>
      </c>
      <c r="E60" s="43">
        <v>9.3000001907348597</v>
      </c>
      <c r="F60" s="17">
        <v>2015</v>
      </c>
      <c r="G60" s="36">
        <v>8.5</v>
      </c>
      <c r="H60" s="28">
        <f t="shared" si="0"/>
        <v>85</v>
      </c>
      <c r="I60" s="30">
        <f t="shared" si="1"/>
        <v>93.00000190734859</v>
      </c>
      <c r="J60" s="31">
        <v>1387</v>
      </c>
      <c r="K60" s="40">
        <v>729</v>
      </c>
      <c r="L60" s="40">
        <v>1073</v>
      </c>
      <c r="M60" s="41">
        <v>13.5</v>
      </c>
      <c r="N60" s="33">
        <f t="shared" si="2"/>
        <v>6.7051190993041521E-2</v>
      </c>
    </row>
    <row r="61" spans="1:34" ht="17.100000000000001" customHeight="1" x14ac:dyDescent="0.3">
      <c r="A61" s="42" t="s">
        <v>460</v>
      </c>
      <c r="B61" s="17" t="s">
        <v>6</v>
      </c>
      <c r="C61" s="17" t="s">
        <v>461</v>
      </c>
      <c r="D61" s="43">
        <v>13.3999996185303</v>
      </c>
      <c r="E61" s="43">
        <v>11.7250003814697</v>
      </c>
      <c r="F61" s="17">
        <v>2014</v>
      </c>
      <c r="G61" s="36">
        <v>8.5</v>
      </c>
      <c r="H61" s="28">
        <f t="shared" ref="H61:H124" si="3">G61*10^6/(D61*10^4)</f>
        <v>63.432837626694443</v>
      </c>
      <c r="I61" s="30">
        <f t="shared" ref="I61:I124" si="4">E61*10^6/(D61*10^4)</f>
        <v>87.500005337729164</v>
      </c>
      <c r="J61" s="31">
        <v>1305</v>
      </c>
      <c r="K61" s="40">
        <v>621</v>
      </c>
      <c r="L61" s="40">
        <v>1213</v>
      </c>
      <c r="M61" s="41">
        <v>13</v>
      </c>
      <c r="N61" s="33">
        <f t="shared" ref="N61:N124" si="5">I61/J61</f>
        <v>6.7049812519332688E-2</v>
      </c>
    </row>
    <row r="62" spans="1:34" ht="17.100000000000001" customHeight="1" x14ac:dyDescent="0.3">
      <c r="A62" s="42" t="s">
        <v>358</v>
      </c>
      <c r="B62" s="17" t="s">
        <v>6</v>
      </c>
      <c r="C62" s="17" t="s">
        <v>359</v>
      </c>
      <c r="D62" s="43">
        <v>16.100000381469702</v>
      </c>
      <c r="E62" s="43">
        <v>16.53977394104</v>
      </c>
      <c r="F62" s="17">
        <v>2015</v>
      </c>
      <c r="G62" s="36">
        <v>10.020199775695801</v>
      </c>
      <c r="H62" s="28">
        <f t="shared" si="3"/>
        <v>62.237264212916124</v>
      </c>
      <c r="I62" s="30">
        <f t="shared" si="4"/>
        <v>102.73151272764227</v>
      </c>
      <c r="J62" s="31">
        <v>1533</v>
      </c>
      <c r="K62" s="40">
        <v>569</v>
      </c>
      <c r="L62" s="40">
        <v>1717</v>
      </c>
      <c r="M62" s="41">
        <v>14.5</v>
      </c>
      <c r="N62" s="33">
        <f t="shared" si="5"/>
        <v>6.7013380774717718E-2</v>
      </c>
    </row>
    <row r="63" spans="1:34" ht="17.100000000000001" customHeight="1" x14ac:dyDescent="0.3">
      <c r="A63" s="42" t="s">
        <v>468</v>
      </c>
      <c r="B63" s="17" t="s">
        <v>6</v>
      </c>
      <c r="C63" s="17" t="s">
        <v>469</v>
      </c>
      <c r="D63" s="43">
        <v>16.100000381469702</v>
      </c>
      <c r="E63" s="43">
        <v>13.9794111251831</v>
      </c>
      <c r="F63" s="17">
        <v>2014</v>
      </c>
      <c r="G63" s="36">
        <v>8.4690704345703107</v>
      </c>
      <c r="H63" s="28">
        <f t="shared" si="3"/>
        <v>52.602920707491343</v>
      </c>
      <c r="I63" s="30">
        <f t="shared" si="4"/>
        <v>86.828638471789773</v>
      </c>
      <c r="J63" s="31">
        <v>1297</v>
      </c>
      <c r="K63" s="40">
        <v>628</v>
      </c>
      <c r="L63" s="40">
        <v>1181</v>
      </c>
      <c r="M63" s="41">
        <v>13.6</v>
      </c>
      <c r="N63" s="33">
        <f t="shared" si="5"/>
        <v>6.6945750556507144E-2</v>
      </c>
      <c r="O63" s="9"/>
      <c r="P63" s="10"/>
      <c r="Q63" s="4"/>
      <c r="S63" s="8"/>
      <c r="T63" s="8"/>
      <c r="U63" s="8"/>
      <c r="V63" s="4"/>
      <c r="W63" s="8"/>
      <c r="X63" s="8"/>
      <c r="Y63" s="8"/>
      <c r="Z63" s="8"/>
      <c r="AA63" s="8"/>
      <c r="AB63" s="4"/>
      <c r="AC63" s="8"/>
      <c r="AD63" s="8"/>
      <c r="AE63" s="8"/>
      <c r="AF63" s="8"/>
      <c r="AG63" s="8"/>
      <c r="AH63" s="4"/>
    </row>
    <row r="64" spans="1:34" ht="17.100000000000001" customHeight="1" x14ac:dyDescent="0.3">
      <c r="A64" s="42" t="s">
        <v>414</v>
      </c>
      <c r="B64" s="17" t="s">
        <v>11</v>
      </c>
      <c r="C64" s="17" t="s">
        <v>415</v>
      </c>
      <c r="D64" s="43">
        <v>26</v>
      </c>
      <c r="E64" s="43">
        <v>25.0100002288818</v>
      </c>
      <c r="F64" s="17">
        <v>2014</v>
      </c>
      <c r="G64" s="36">
        <v>21.290000915527301</v>
      </c>
      <c r="H64" s="28">
        <f t="shared" si="3"/>
        <v>81.884618905874248</v>
      </c>
      <c r="I64" s="30">
        <f t="shared" si="4"/>
        <v>96.192308572622309</v>
      </c>
      <c r="J64" s="31">
        <v>1444</v>
      </c>
      <c r="K64" s="40">
        <v>735</v>
      </c>
      <c r="L64" s="40">
        <v>1126</v>
      </c>
      <c r="M64" s="41">
        <v>16.600000000000001</v>
      </c>
      <c r="N64" s="33">
        <f t="shared" si="5"/>
        <v>6.6615172141705203E-2</v>
      </c>
      <c r="O64" s="54"/>
      <c r="P64" s="54"/>
      <c r="Q64" s="54"/>
      <c r="S64" s="54"/>
      <c r="T64" s="54"/>
      <c r="U64" s="54"/>
      <c r="V64" s="54"/>
      <c r="W64" s="54"/>
      <c r="X64" s="54"/>
      <c r="Y64" s="54"/>
      <c r="Z64" s="54"/>
      <c r="AA64" s="54"/>
      <c r="AB64" s="54"/>
      <c r="AC64" s="54"/>
      <c r="AD64" s="54"/>
      <c r="AE64" s="54"/>
      <c r="AF64" s="54"/>
      <c r="AG64" s="54"/>
      <c r="AH64" s="54"/>
    </row>
    <row r="65" spans="1:34" ht="17.100000000000001" customHeight="1" x14ac:dyDescent="0.3">
      <c r="A65" s="27" t="s">
        <v>635</v>
      </c>
      <c r="B65" s="27" t="s">
        <v>128</v>
      </c>
      <c r="C65" s="26" t="s">
        <v>636</v>
      </c>
      <c r="D65" s="29">
        <v>9</v>
      </c>
      <c r="E65" s="29">
        <v>9.9060000000000006</v>
      </c>
      <c r="F65" s="27">
        <v>2015</v>
      </c>
      <c r="G65" s="29">
        <v>6.84</v>
      </c>
      <c r="H65" s="28">
        <f t="shared" si="3"/>
        <v>76</v>
      </c>
      <c r="I65" s="30">
        <f t="shared" si="4"/>
        <v>110.06666666666666</v>
      </c>
      <c r="J65" s="31">
        <v>1653</v>
      </c>
      <c r="K65" s="31">
        <v>649</v>
      </c>
      <c r="L65" s="31">
        <v>1686</v>
      </c>
      <c r="M65" s="32">
        <v>15.6</v>
      </c>
      <c r="N65" s="33">
        <f t="shared" si="5"/>
        <v>6.6586005242992533E-2</v>
      </c>
    </row>
    <row r="66" spans="1:34" ht="17.100000000000001" customHeight="1" x14ac:dyDescent="0.3">
      <c r="A66" s="27" t="s">
        <v>595</v>
      </c>
      <c r="B66" s="27" t="s">
        <v>573</v>
      </c>
      <c r="C66" s="26" t="s">
        <v>596</v>
      </c>
      <c r="D66" s="29">
        <v>56.4</v>
      </c>
      <c r="E66" s="29">
        <v>74.87</v>
      </c>
      <c r="F66" s="27">
        <v>2019</v>
      </c>
      <c r="G66" s="29">
        <v>49</v>
      </c>
      <c r="H66" s="28">
        <f t="shared" si="3"/>
        <v>86.879432624113477</v>
      </c>
      <c r="I66" s="30">
        <f t="shared" si="4"/>
        <v>132.74822695035462</v>
      </c>
      <c r="J66" s="31">
        <v>1994</v>
      </c>
      <c r="K66" s="31">
        <v>847</v>
      </c>
      <c r="L66" s="31">
        <v>1592</v>
      </c>
      <c r="M66" s="32">
        <v>26.4</v>
      </c>
      <c r="N66" s="33">
        <f t="shared" si="5"/>
        <v>6.6573834980117666E-2</v>
      </c>
    </row>
    <row r="67" spans="1:34" ht="17.100000000000001" customHeight="1" x14ac:dyDescent="0.3">
      <c r="A67" s="42" t="s">
        <v>418</v>
      </c>
      <c r="B67" s="17" t="s">
        <v>11</v>
      </c>
      <c r="C67" s="17" t="s">
        <v>419</v>
      </c>
      <c r="D67" s="43">
        <v>25.200000762939499</v>
      </c>
      <c r="E67" s="43">
        <v>24</v>
      </c>
      <c r="F67" s="17">
        <v>2015</v>
      </c>
      <c r="G67" s="36">
        <v>24.469999313354499</v>
      </c>
      <c r="H67" s="28">
        <f t="shared" si="3"/>
        <v>97.103168938555825</v>
      </c>
      <c r="I67" s="30">
        <f t="shared" si="4"/>
        <v>95.238092354726092</v>
      </c>
      <c r="J67" s="31">
        <v>1431</v>
      </c>
      <c r="K67" s="40">
        <v>718</v>
      </c>
      <c r="L67" s="40">
        <v>1155</v>
      </c>
      <c r="M67" s="41">
        <v>16.2</v>
      </c>
      <c r="N67" s="33">
        <f t="shared" si="5"/>
        <v>6.6553523658089517E-2</v>
      </c>
    </row>
    <row r="68" spans="1:34" ht="17.100000000000001" customHeight="1" x14ac:dyDescent="0.3">
      <c r="A68" s="27" t="s">
        <v>629</v>
      </c>
      <c r="B68" s="27" t="s">
        <v>128</v>
      </c>
      <c r="C68" s="26" t="s">
        <v>630</v>
      </c>
      <c r="D68" s="29">
        <v>9.1</v>
      </c>
      <c r="E68" s="29">
        <v>10.11</v>
      </c>
      <c r="F68" s="27">
        <v>2016</v>
      </c>
      <c r="G68" s="29">
        <v>7.0025000000000004</v>
      </c>
      <c r="H68" s="28">
        <f t="shared" si="3"/>
        <v>76.950549450549445</v>
      </c>
      <c r="I68" s="30">
        <f t="shared" si="4"/>
        <v>111.09890109890109</v>
      </c>
      <c r="J68" s="31">
        <v>1673</v>
      </c>
      <c r="K68" s="31">
        <v>657</v>
      </c>
      <c r="L68" s="31">
        <v>1693</v>
      </c>
      <c r="M68" s="32">
        <v>16.100000000000001</v>
      </c>
      <c r="N68" s="33">
        <f t="shared" si="5"/>
        <v>6.6406994081829707E-2</v>
      </c>
      <c r="O68" s="9"/>
      <c r="Q68" s="4"/>
      <c r="S68" s="8"/>
      <c r="T68" s="8"/>
      <c r="U68" s="8"/>
      <c r="V68" s="4"/>
      <c r="W68" s="8"/>
      <c r="X68" s="8"/>
      <c r="Y68" s="8"/>
      <c r="Z68" s="8"/>
      <c r="AA68" s="8"/>
      <c r="AB68" s="4"/>
      <c r="AC68" s="8"/>
      <c r="AD68" s="8"/>
      <c r="AE68" s="8"/>
      <c r="AF68" s="8"/>
      <c r="AG68" s="8"/>
      <c r="AH68" s="4"/>
    </row>
    <row r="69" spans="1:34" ht="17.100000000000001" customHeight="1" x14ac:dyDescent="0.3">
      <c r="A69" s="27" t="s">
        <v>619</v>
      </c>
      <c r="B69" s="27" t="s">
        <v>128</v>
      </c>
      <c r="C69" s="26" t="s">
        <v>620</v>
      </c>
      <c r="D69" s="29">
        <v>8.1999999999999993</v>
      </c>
      <c r="E69" s="29">
        <v>9.0515000000000008</v>
      </c>
      <c r="F69" s="27">
        <v>2015</v>
      </c>
      <c r="G69" s="29">
        <v>6.48</v>
      </c>
      <c r="H69" s="28">
        <f t="shared" si="3"/>
        <v>79.024390243902445</v>
      </c>
      <c r="I69" s="30">
        <f t="shared" si="4"/>
        <v>110.38414634146342</v>
      </c>
      <c r="J69" s="31">
        <v>1668</v>
      </c>
      <c r="K69" s="31">
        <v>645</v>
      </c>
      <c r="L69" s="31">
        <v>1713</v>
      </c>
      <c r="M69" s="32">
        <v>14.6</v>
      </c>
      <c r="N69" s="33">
        <f t="shared" si="5"/>
        <v>6.6177545768263443E-2</v>
      </c>
      <c r="O69" s="54"/>
      <c r="P69" s="54"/>
      <c r="Q69" s="54"/>
      <c r="S69" s="54"/>
      <c r="T69" s="54"/>
      <c r="U69" s="54"/>
      <c r="V69" s="54"/>
      <c r="W69" s="54"/>
      <c r="X69" s="54"/>
      <c r="Y69" s="54"/>
      <c r="Z69" s="54"/>
      <c r="AA69" s="54"/>
      <c r="AB69" s="54"/>
      <c r="AC69" s="54"/>
      <c r="AD69" s="54"/>
      <c r="AE69" s="54"/>
      <c r="AF69" s="54"/>
      <c r="AG69" s="54"/>
      <c r="AH69" s="54"/>
    </row>
    <row r="70" spans="1:34" ht="17.100000000000001" customHeight="1" x14ac:dyDescent="0.3">
      <c r="A70" s="34" t="s">
        <v>75</v>
      </c>
      <c r="B70" s="16" t="s">
        <v>6</v>
      </c>
      <c r="C70" s="16" t="s">
        <v>76</v>
      </c>
      <c r="D70" s="35">
        <v>107.3</v>
      </c>
      <c r="E70" s="35">
        <v>93</v>
      </c>
      <c r="F70" s="16">
        <v>2018</v>
      </c>
      <c r="G70" s="36">
        <v>73.2</v>
      </c>
      <c r="H70" s="28">
        <f t="shared" si="3"/>
        <v>68.219944082013043</v>
      </c>
      <c r="I70" s="30">
        <f t="shared" si="4"/>
        <v>86.672879776328045</v>
      </c>
      <c r="J70" s="44">
        <v>1311</v>
      </c>
      <c r="K70" s="30">
        <v>619</v>
      </c>
      <c r="L70" s="30">
        <v>1240</v>
      </c>
      <c r="M70" s="32">
        <v>13.9</v>
      </c>
      <c r="N70" s="33">
        <f t="shared" si="5"/>
        <v>6.6112036442660602E-2</v>
      </c>
      <c r="O70" s="54"/>
      <c r="P70" s="54"/>
      <c r="Q70" s="54"/>
      <c r="S70" s="54"/>
      <c r="T70" s="54"/>
      <c r="U70" s="54"/>
      <c r="V70" s="54"/>
      <c r="W70" s="54"/>
      <c r="X70" s="54"/>
      <c r="Y70" s="54"/>
      <c r="Z70" s="54"/>
      <c r="AA70" s="54"/>
      <c r="AB70" s="54"/>
      <c r="AC70" s="54"/>
      <c r="AD70" s="54"/>
      <c r="AE70" s="54"/>
      <c r="AF70" s="54"/>
      <c r="AG70" s="54"/>
      <c r="AH70" s="54"/>
    </row>
    <row r="71" spans="1:34" ht="17.100000000000001" customHeight="1" x14ac:dyDescent="0.3">
      <c r="A71" s="42" t="s">
        <v>374</v>
      </c>
      <c r="B71" s="17" t="s">
        <v>11</v>
      </c>
      <c r="C71" s="17" t="s">
        <v>375</v>
      </c>
      <c r="D71" s="43">
        <v>25.299999237060501</v>
      </c>
      <c r="E71" s="43">
        <v>25</v>
      </c>
      <c r="F71" s="17">
        <v>2015</v>
      </c>
      <c r="G71" s="36">
        <v>21</v>
      </c>
      <c r="H71" s="28">
        <f t="shared" si="3"/>
        <v>83.003955072213273</v>
      </c>
      <c r="I71" s="30">
        <f t="shared" si="4"/>
        <v>98.814232228825333</v>
      </c>
      <c r="J71" s="31">
        <v>1496</v>
      </c>
      <c r="K71" s="40">
        <v>707</v>
      </c>
      <c r="L71" s="40">
        <v>1279</v>
      </c>
      <c r="M71" s="41">
        <v>16.100000000000001</v>
      </c>
      <c r="N71" s="33">
        <f t="shared" si="5"/>
        <v>6.6052294270605175E-2</v>
      </c>
      <c r="O71" s="5"/>
      <c r="Q71" s="54"/>
      <c r="S71" s="54"/>
      <c r="T71" s="54"/>
      <c r="U71" s="54"/>
      <c r="V71" s="54"/>
      <c r="W71" s="54"/>
      <c r="X71" s="54"/>
      <c r="Y71" s="54"/>
      <c r="Z71" s="54"/>
      <c r="AA71" s="54"/>
      <c r="AB71" s="54"/>
      <c r="AC71" s="54"/>
      <c r="AD71" s="54"/>
      <c r="AE71" s="54"/>
      <c r="AF71" s="54"/>
      <c r="AG71" s="54"/>
      <c r="AH71" s="54"/>
    </row>
    <row r="72" spans="1:34" ht="17.100000000000001" customHeight="1" x14ac:dyDescent="0.3">
      <c r="A72" s="27" t="s">
        <v>707</v>
      </c>
      <c r="B72" s="27" t="s">
        <v>128</v>
      </c>
      <c r="C72" s="26" t="s">
        <v>708</v>
      </c>
      <c r="D72" s="29">
        <v>23.4</v>
      </c>
      <c r="E72" s="29">
        <v>29.552499999999998</v>
      </c>
      <c r="F72" s="27">
        <v>2015</v>
      </c>
      <c r="G72" s="29">
        <v>16.3</v>
      </c>
      <c r="H72" s="28">
        <f t="shared" si="3"/>
        <v>69.658119658119659</v>
      </c>
      <c r="I72" s="30">
        <f t="shared" si="4"/>
        <v>126.29273504273505</v>
      </c>
      <c r="J72" s="31">
        <v>1914</v>
      </c>
      <c r="K72" s="31">
        <v>474</v>
      </c>
      <c r="L72" s="31">
        <v>2419</v>
      </c>
      <c r="M72" s="32">
        <v>16.399999999999999</v>
      </c>
      <c r="N72" s="33">
        <f t="shared" si="5"/>
        <v>6.5983665121596161E-2</v>
      </c>
    </row>
    <row r="73" spans="1:34" ht="17.100000000000001" customHeight="1" x14ac:dyDescent="0.3">
      <c r="A73" s="27" t="s">
        <v>645</v>
      </c>
      <c r="B73" s="27" t="s">
        <v>128</v>
      </c>
      <c r="C73" s="26" t="s">
        <v>646</v>
      </c>
      <c r="D73" s="29">
        <v>8.6999999999999993</v>
      </c>
      <c r="E73" s="29">
        <v>9.4629999999999992</v>
      </c>
      <c r="F73" s="27">
        <v>2015</v>
      </c>
      <c r="G73" s="29">
        <v>6.52</v>
      </c>
      <c r="H73" s="28">
        <f t="shared" si="3"/>
        <v>74.94252873563218</v>
      </c>
      <c r="I73" s="30">
        <f t="shared" si="4"/>
        <v>108.77011494252874</v>
      </c>
      <c r="J73" s="31">
        <v>1649</v>
      </c>
      <c r="K73" s="31">
        <v>643</v>
      </c>
      <c r="L73" s="31">
        <v>1691</v>
      </c>
      <c r="M73" s="32">
        <v>14.7</v>
      </c>
      <c r="N73" s="33">
        <f t="shared" si="5"/>
        <v>6.5961258303534706E-2</v>
      </c>
    </row>
    <row r="74" spans="1:34" ht="17.100000000000001" customHeight="1" x14ac:dyDescent="0.3">
      <c r="A74" s="27" t="s">
        <v>597</v>
      </c>
      <c r="B74" s="27" t="s">
        <v>128</v>
      </c>
      <c r="C74" s="26" t="s">
        <v>598</v>
      </c>
      <c r="D74" s="29">
        <v>25.9</v>
      </c>
      <c r="E74" s="29">
        <v>37.165999999999997</v>
      </c>
      <c r="F74" s="27">
        <v>2016</v>
      </c>
      <c r="G74" s="29">
        <v>22.5</v>
      </c>
      <c r="H74" s="28">
        <f t="shared" si="3"/>
        <v>86.872586872586879</v>
      </c>
      <c r="I74" s="30">
        <f t="shared" si="4"/>
        <v>143.4980694980695</v>
      </c>
      <c r="J74" s="31">
        <v>2185</v>
      </c>
      <c r="K74" s="31">
        <v>422</v>
      </c>
      <c r="L74" s="31">
        <v>2964</v>
      </c>
      <c r="M74" s="32">
        <v>16.399999999999999</v>
      </c>
      <c r="N74" s="33">
        <f t="shared" si="5"/>
        <v>6.5674173683326995E-2</v>
      </c>
    </row>
    <row r="75" spans="1:34" ht="17.100000000000001" customHeight="1" x14ac:dyDescent="0.3">
      <c r="A75" s="27" t="s">
        <v>641</v>
      </c>
      <c r="B75" s="27" t="s">
        <v>128</v>
      </c>
      <c r="C75" s="26" t="s">
        <v>642</v>
      </c>
      <c r="D75" s="29">
        <v>9.3000000000000007</v>
      </c>
      <c r="E75" s="29">
        <v>10.005000000000001</v>
      </c>
      <c r="F75" s="27">
        <v>2015</v>
      </c>
      <c r="G75" s="29">
        <v>7.0031999999999996</v>
      </c>
      <c r="H75" s="28">
        <f t="shared" si="3"/>
        <v>75.303225806451607</v>
      </c>
      <c r="I75" s="30">
        <f t="shared" si="4"/>
        <v>107.58064516129032</v>
      </c>
      <c r="J75" s="31">
        <v>1640</v>
      </c>
      <c r="K75" s="31">
        <v>642</v>
      </c>
      <c r="L75" s="31">
        <v>1680</v>
      </c>
      <c r="M75" s="32">
        <v>14.4</v>
      </c>
      <c r="N75" s="33">
        <f t="shared" si="5"/>
        <v>6.559795436664044E-2</v>
      </c>
    </row>
    <row r="76" spans="1:34" ht="17.100000000000001" customHeight="1" x14ac:dyDescent="0.3">
      <c r="A76" s="42" t="s">
        <v>398</v>
      </c>
      <c r="B76" s="17" t="s">
        <v>11</v>
      </c>
      <c r="C76" s="17" t="s">
        <v>399</v>
      </c>
      <c r="D76" s="43">
        <v>11.8999996185303</v>
      </c>
      <c r="E76" s="43">
        <v>11.435000419616699</v>
      </c>
      <c r="F76" s="17">
        <v>2015</v>
      </c>
      <c r="G76" s="36">
        <v>11.1000003814697</v>
      </c>
      <c r="H76" s="28">
        <f t="shared" si="3"/>
        <v>93.277317120121026</v>
      </c>
      <c r="I76" s="30">
        <f t="shared" si="4"/>
        <v>96.092443581346686</v>
      </c>
      <c r="J76" s="31">
        <v>1467</v>
      </c>
      <c r="K76" s="40">
        <v>708</v>
      </c>
      <c r="L76" s="40">
        <v>1193</v>
      </c>
      <c r="M76" s="41">
        <v>15.6</v>
      </c>
      <c r="N76" s="33">
        <f t="shared" si="5"/>
        <v>6.5502688194510356E-2</v>
      </c>
    </row>
    <row r="77" spans="1:34" ht="17.100000000000001" customHeight="1" x14ac:dyDescent="0.3">
      <c r="A77" s="42" t="s">
        <v>322</v>
      </c>
      <c r="B77" s="17" t="s">
        <v>128</v>
      </c>
      <c r="C77" s="17" t="s">
        <v>323</v>
      </c>
      <c r="D77" s="43">
        <v>29.399999618530298</v>
      </c>
      <c r="E77" s="43">
        <v>31.5629997253418</v>
      </c>
      <c r="F77" s="17">
        <v>2014</v>
      </c>
      <c r="G77" s="36">
        <v>20</v>
      </c>
      <c r="H77" s="28">
        <f t="shared" si="3"/>
        <v>68.027211767017704</v>
      </c>
      <c r="I77" s="30">
        <f t="shared" si="4"/>
        <v>107.35714331590741</v>
      </c>
      <c r="J77" s="31">
        <v>1639</v>
      </c>
      <c r="K77" s="40">
        <v>647</v>
      </c>
      <c r="L77" s="40">
        <v>1642</v>
      </c>
      <c r="M77" s="41">
        <v>15.6</v>
      </c>
      <c r="N77" s="33">
        <f t="shared" si="5"/>
        <v>6.5501612761383415E-2</v>
      </c>
      <c r="O77" s="9"/>
      <c r="P77" s="10"/>
      <c r="Q77" s="4"/>
      <c r="S77" s="8"/>
      <c r="T77" s="8"/>
      <c r="U77" s="8"/>
      <c r="V77" s="4"/>
      <c r="W77" s="8"/>
      <c r="X77" s="8"/>
      <c r="Y77" s="13"/>
      <c r="Z77" s="13"/>
      <c r="AA77" s="8"/>
      <c r="AB77" s="4"/>
      <c r="AC77" s="8"/>
      <c r="AD77" s="8"/>
      <c r="AE77" s="8"/>
      <c r="AF77" s="8"/>
      <c r="AG77" s="8"/>
      <c r="AH77" s="4"/>
    </row>
    <row r="78" spans="1:34" ht="17.100000000000001" customHeight="1" x14ac:dyDescent="0.3">
      <c r="A78" s="34" t="s">
        <v>77</v>
      </c>
      <c r="B78" s="16" t="s">
        <v>11</v>
      </c>
      <c r="C78" s="16" t="s">
        <v>78</v>
      </c>
      <c r="D78" s="35">
        <v>91.5</v>
      </c>
      <c r="E78" s="35">
        <v>87</v>
      </c>
      <c r="F78" s="16">
        <v>2014</v>
      </c>
      <c r="G78" s="36">
        <v>82.02</v>
      </c>
      <c r="H78" s="28">
        <f t="shared" si="3"/>
        <v>89.639344262295083</v>
      </c>
      <c r="I78" s="30">
        <f t="shared" si="4"/>
        <v>95.081967213114751</v>
      </c>
      <c r="J78" s="44">
        <v>1454</v>
      </c>
      <c r="K78" s="30">
        <v>709</v>
      </c>
      <c r="L78" s="30">
        <v>1181</v>
      </c>
      <c r="M78" s="32">
        <v>17</v>
      </c>
      <c r="N78" s="33">
        <f t="shared" si="5"/>
        <v>6.5393374974631879E-2</v>
      </c>
    </row>
    <row r="79" spans="1:34" ht="17.100000000000001" customHeight="1" x14ac:dyDescent="0.3">
      <c r="A79" s="27" t="s">
        <v>631</v>
      </c>
      <c r="B79" s="27" t="s">
        <v>128</v>
      </c>
      <c r="C79" s="26" t="s">
        <v>632</v>
      </c>
      <c r="D79" s="29">
        <v>9.1999999999999993</v>
      </c>
      <c r="E79" s="29">
        <v>9.84</v>
      </c>
      <c r="F79" s="27">
        <v>2016</v>
      </c>
      <c r="G79" s="29">
        <v>7.0679999999999996</v>
      </c>
      <c r="H79" s="28">
        <f t="shared" si="3"/>
        <v>76.826086956521735</v>
      </c>
      <c r="I79" s="30">
        <f t="shared" si="4"/>
        <v>106.95652173913044</v>
      </c>
      <c r="J79" s="31">
        <v>1640</v>
      </c>
      <c r="K79" s="31">
        <v>638</v>
      </c>
      <c r="L79" s="31">
        <v>1686</v>
      </c>
      <c r="M79" s="32">
        <v>15</v>
      </c>
      <c r="N79" s="33">
        <f t="shared" si="5"/>
        <v>6.5217391304347824E-2</v>
      </c>
    </row>
    <row r="80" spans="1:34" ht="17.100000000000001" customHeight="1" x14ac:dyDescent="0.3">
      <c r="A80" s="42" t="s">
        <v>390</v>
      </c>
      <c r="B80" s="17" t="s">
        <v>11</v>
      </c>
      <c r="C80" s="17" t="s">
        <v>391</v>
      </c>
      <c r="D80" s="43">
        <v>10.300000190734901</v>
      </c>
      <c r="E80" s="43">
        <v>9.8599996566772496</v>
      </c>
      <c r="F80" s="17">
        <v>2014</v>
      </c>
      <c r="G80" s="36">
        <v>8.5</v>
      </c>
      <c r="H80" s="28">
        <f t="shared" si="3"/>
        <v>82.524270316479758</v>
      </c>
      <c r="I80" s="30">
        <f t="shared" si="4"/>
        <v>95.728150233885998</v>
      </c>
      <c r="J80" s="31">
        <v>1470</v>
      </c>
      <c r="K80" s="40">
        <v>727</v>
      </c>
      <c r="L80" s="40">
        <v>1158</v>
      </c>
      <c r="M80" s="41">
        <v>18.8</v>
      </c>
      <c r="N80" s="33">
        <f t="shared" si="5"/>
        <v>6.5121190635296602E-2</v>
      </c>
    </row>
    <row r="81" spans="1:34" ht="17.100000000000001" customHeight="1" x14ac:dyDescent="0.3">
      <c r="A81" s="27" t="s">
        <v>663</v>
      </c>
      <c r="B81" s="27" t="s">
        <v>128</v>
      </c>
      <c r="C81" s="26" t="s">
        <v>664</v>
      </c>
      <c r="D81" s="29">
        <v>8.5</v>
      </c>
      <c r="E81" s="29">
        <v>8.93</v>
      </c>
      <c r="F81" s="27">
        <v>2015</v>
      </c>
      <c r="G81" s="29">
        <v>6.2337999999999996</v>
      </c>
      <c r="H81" s="28">
        <f t="shared" si="3"/>
        <v>73.338823529411769</v>
      </c>
      <c r="I81" s="30">
        <f t="shared" si="4"/>
        <v>105.05882352941177</v>
      </c>
      <c r="J81" s="31">
        <v>1620</v>
      </c>
      <c r="K81" s="31">
        <v>634</v>
      </c>
      <c r="L81" s="31">
        <v>1670</v>
      </c>
      <c r="M81" s="32">
        <v>14.5</v>
      </c>
      <c r="N81" s="33">
        <f t="shared" si="5"/>
        <v>6.4851125635439363E-2</v>
      </c>
      <c r="O81" s="54"/>
      <c r="P81" s="54"/>
      <c r="V81" s="54"/>
    </row>
    <row r="82" spans="1:34" ht="17.100000000000001" customHeight="1" x14ac:dyDescent="0.3">
      <c r="A82" s="27" t="s">
        <v>617</v>
      </c>
      <c r="B82" s="27" t="s">
        <v>128</v>
      </c>
      <c r="C82" s="26" t="s">
        <v>618</v>
      </c>
      <c r="D82" s="29">
        <v>8.1999999999999993</v>
      </c>
      <c r="E82" s="29">
        <v>10.141</v>
      </c>
      <c r="F82" s="27">
        <v>2016</v>
      </c>
      <c r="G82" s="29">
        <v>6.5</v>
      </c>
      <c r="H82" s="28">
        <f t="shared" si="3"/>
        <v>79.268292682926827</v>
      </c>
      <c r="I82" s="30">
        <f t="shared" si="4"/>
        <v>123.67073170731707</v>
      </c>
      <c r="J82" s="31">
        <v>1909</v>
      </c>
      <c r="K82" s="31">
        <v>758</v>
      </c>
      <c r="L82" s="31">
        <v>1699</v>
      </c>
      <c r="M82" s="32">
        <v>23.6</v>
      </c>
      <c r="N82" s="33">
        <f t="shared" si="5"/>
        <v>6.4782991989165567E-2</v>
      </c>
    </row>
    <row r="83" spans="1:34" ht="17.100000000000001" customHeight="1" x14ac:dyDescent="0.3">
      <c r="A83" s="27" t="s">
        <v>697</v>
      </c>
      <c r="B83" s="27" t="s">
        <v>128</v>
      </c>
      <c r="C83" s="26" t="s">
        <v>698</v>
      </c>
      <c r="D83" s="29">
        <v>9.4</v>
      </c>
      <c r="E83" s="29">
        <v>10.231999999999999</v>
      </c>
      <c r="F83" s="27">
        <v>2016</v>
      </c>
      <c r="G83" s="29">
        <v>6.6067999999999998</v>
      </c>
      <c r="H83" s="28">
        <f t="shared" si="3"/>
        <v>70.285106382978725</v>
      </c>
      <c r="I83" s="30">
        <f t="shared" si="4"/>
        <v>108.85106382978724</v>
      </c>
      <c r="J83" s="31">
        <v>1685</v>
      </c>
      <c r="K83" s="31">
        <v>659</v>
      </c>
      <c r="L83" s="31">
        <v>1709</v>
      </c>
      <c r="M83" s="32">
        <v>16.2</v>
      </c>
      <c r="N83" s="33">
        <f t="shared" si="5"/>
        <v>6.4600037881179365E-2</v>
      </c>
    </row>
    <row r="84" spans="1:34" ht="17.100000000000001" customHeight="1" x14ac:dyDescent="0.3">
      <c r="A84" s="27" t="s">
        <v>651</v>
      </c>
      <c r="B84" s="27" t="s">
        <v>128</v>
      </c>
      <c r="C84" s="26" t="s">
        <v>652</v>
      </c>
      <c r="D84" s="29">
        <v>9.4</v>
      </c>
      <c r="E84" s="29">
        <v>10.026</v>
      </c>
      <c r="F84" s="27">
        <v>2017</v>
      </c>
      <c r="G84" s="29">
        <v>6.9972000000000003</v>
      </c>
      <c r="H84" s="28">
        <f t="shared" si="3"/>
        <v>74.438297872340428</v>
      </c>
      <c r="I84" s="30">
        <f t="shared" si="4"/>
        <v>106.65957446808511</v>
      </c>
      <c r="J84" s="31">
        <v>1652</v>
      </c>
      <c r="K84" s="31">
        <v>643</v>
      </c>
      <c r="L84" s="31">
        <v>1693</v>
      </c>
      <c r="M84" s="32">
        <v>15.4</v>
      </c>
      <c r="N84" s="33">
        <f t="shared" si="5"/>
        <v>6.4563907063005521E-2</v>
      </c>
    </row>
    <row r="85" spans="1:34" ht="17.100000000000001" customHeight="1" x14ac:dyDescent="0.3">
      <c r="A85" s="27" t="s">
        <v>627</v>
      </c>
      <c r="B85" s="27" t="s">
        <v>128</v>
      </c>
      <c r="C85" s="26" t="s">
        <v>628</v>
      </c>
      <c r="D85" s="29">
        <v>8.8000000000000007</v>
      </c>
      <c r="E85" s="29">
        <v>9.17</v>
      </c>
      <c r="F85" s="27">
        <v>2015</v>
      </c>
      <c r="G85" s="29">
        <v>6.84</v>
      </c>
      <c r="H85" s="28">
        <f t="shared" si="3"/>
        <v>77.727272727272734</v>
      </c>
      <c r="I85" s="30">
        <f t="shared" si="4"/>
        <v>104.20454545454545</v>
      </c>
      <c r="J85" s="31">
        <v>1625</v>
      </c>
      <c r="K85" s="31">
        <v>636</v>
      </c>
      <c r="L85" s="31">
        <v>1678</v>
      </c>
      <c r="M85" s="32">
        <v>14.4</v>
      </c>
      <c r="N85" s="33">
        <f t="shared" si="5"/>
        <v>6.412587412587413E-2</v>
      </c>
      <c r="O85" s="54"/>
      <c r="Q85" s="54"/>
      <c r="S85" s="54"/>
      <c r="T85" s="54"/>
      <c r="U85" s="54"/>
      <c r="V85" s="54"/>
      <c r="W85" s="54"/>
      <c r="X85" s="54"/>
      <c r="Y85" s="54"/>
      <c r="Z85" s="54"/>
      <c r="AA85" s="54"/>
      <c r="AB85" s="54"/>
      <c r="AC85" s="54"/>
      <c r="AD85" s="54"/>
      <c r="AE85" s="54"/>
      <c r="AF85" s="54"/>
      <c r="AG85" s="54"/>
      <c r="AH85" s="54"/>
    </row>
    <row r="86" spans="1:34" ht="17.100000000000001" customHeight="1" x14ac:dyDescent="0.3">
      <c r="A86" s="27" t="s">
        <v>601</v>
      </c>
      <c r="B86" s="27" t="s">
        <v>11</v>
      </c>
      <c r="C86" s="26" t="s">
        <v>602</v>
      </c>
      <c r="D86" s="29">
        <v>29.5</v>
      </c>
      <c r="E86" s="29">
        <v>26.1</v>
      </c>
      <c r="F86" s="27">
        <v>2015</v>
      </c>
      <c r="G86" s="29">
        <v>24.8</v>
      </c>
      <c r="H86" s="28">
        <f t="shared" si="3"/>
        <v>84.067796610169495</v>
      </c>
      <c r="I86" s="30">
        <f t="shared" si="4"/>
        <v>88.474576271186436</v>
      </c>
      <c r="J86" s="31">
        <v>1381</v>
      </c>
      <c r="K86" s="31">
        <v>693</v>
      </c>
      <c r="L86" s="31">
        <v>1179</v>
      </c>
      <c r="M86" s="32">
        <v>10.5</v>
      </c>
      <c r="N86" s="33">
        <f t="shared" si="5"/>
        <v>6.4065587451981487E-2</v>
      </c>
    </row>
    <row r="87" spans="1:34" ht="17.100000000000001" customHeight="1" x14ac:dyDescent="0.3">
      <c r="A87" s="27" t="s">
        <v>657</v>
      </c>
      <c r="B87" s="27" t="s">
        <v>128</v>
      </c>
      <c r="C87" s="26" t="s">
        <v>658</v>
      </c>
      <c r="D87" s="29">
        <v>9.5</v>
      </c>
      <c r="E87" s="29">
        <v>9.9689999999999994</v>
      </c>
      <c r="F87" s="27">
        <v>2016</v>
      </c>
      <c r="G87" s="29">
        <v>7.0035999999999996</v>
      </c>
      <c r="H87" s="28">
        <f t="shared" si="3"/>
        <v>73.7221052631579</v>
      </c>
      <c r="I87" s="30">
        <f t="shared" si="4"/>
        <v>104.93684210526315</v>
      </c>
      <c r="J87" s="31">
        <v>1639</v>
      </c>
      <c r="K87" s="31">
        <v>654</v>
      </c>
      <c r="L87" s="31">
        <v>1661</v>
      </c>
      <c r="M87" s="32">
        <v>16.3</v>
      </c>
      <c r="N87" s="33">
        <f t="shared" si="5"/>
        <v>6.4024918917183135E-2</v>
      </c>
      <c r="O87" s="9"/>
      <c r="P87" s="10"/>
      <c r="Q87" s="4"/>
      <c r="S87" s="8"/>
      <c r="T87" s="8"/>
      <c r="U87" s="8"/>
      <c r="V87" s="4"/>
      <c r="W87" s="8"/>
      <c r="X87" s="8"/>
      <c r="Y87" s="13"/>
      <c r="Z87" s="13"/>
      <c r="AA87" s="8"/>
      <c r="AB87" s="4"/>
      <c r="AC87" s="8"/>
      <c r="AD87" s="8"/>
      <c r="AE87" s="8"/>
      <c r="AF87" s="8"/>
      <c r="AG87" s="8"/>
      <c r="AH87" s="4"/>
    </row>
    <row r="88" spans="1:34" ht="17.100000000000001" customHeight="1" x14ac:dyDescent="0.3">
      <c r="A88" s="27" t="s">
        <v>675</v>
      </c>
      <c r="B88" s="27" t="s">
        <v>128</v>
      </c>
      <c r="C88" s="26" t="s">
        <v>676</v>
      </c>
      <c r="D88" s="29">
        <v>9.6999999999999993</v>
      </c>
      <c r="E88" s="29">
        <v>10.16</v>
      </c>
      <c r="F88" s="27">
        <v>2016</v>
      </c>
      <c r="G88" s="29">
        <v>7.0339999999999998</v>
      </c>
      <c r="H88" s="28">
        <f t="shared" si="3"/>
        <v>72.515463917525778</v>
      </c>
      <c r="I88" s="30">
        <f t="shared" si="4"/>
        <v>104.74226804123711</v>
      </c>
      <c r="J88" s="31">
        <v>1640</v>
      </c>
      <c r="K88" s="31">
        <v>646</v>
      </c>
      <c r="L88" s="31">
        <v>1670</v>
      </c>
      <c r="M88" s="32">
        <v>15.2</v>
      </c>
      <c r="N88" s="33">
        <f t="shared" si="5"/>
        <v>6.3867236610510428E-2</v>
      </c>
      <c r="Y88" s="13"/>
      <c r="Z88" s="13"/>
    </row>
    <row r="89" spans="1:34" ht="17.100000000000001" customHeight="1" x14ac:dyDescent="0.3">
      <c r="A89" s="27" t="s">
        <v>958</v>
      </c>
      <c r="B89" s="27" t="s">
        <v>22</v>
      </c>
      <c r="C89" s="26" t="s">
        <v>959</v>
      </c>
      <c r="D89" s="29">
        <v>8.8000000000000007</v>
      </c>
      <c r="E89" s="29">
        <v>6</v>
      </c>
      <c r="F89" s="27">
        <v>2015</v>
      </c>
      <c r="G89" s="29">
        <v>4.8</v>
      </c>
      <c r="H89" s="28">
        <f t="shared" si="3"/>
        <v>54.545454545454547</v>
      </c>
      <c r="I89" s="30">
        <f t="shared" si="4"/>
        <v>68.181818181818187</v>
      </c>
      <c r="J89" s="31">
        <v>1072</v>
      </c>
      <c r="K89" s="31">
        <v>585</v>
      </c>
      <c r="L89" s="31">
        <v>914</v>
      </c>
      <c r="M89" s="32">
        <v>10.7</v>
      </c>
      <c r="N89" s="33">
        <f t="shared" si="5"/>
        <v>6.3602442333785619E-2</v>
      </c>
      <c r="O89" s="9"/>
      <c r="P89" s="10"/>
      <c r="Q89" s="4"/>
      <c r="S89" s="8"/>
      <c r="T89" s="8"/>
      <c r="U89" s="8"/>
      <c r="V89" s="4"/>
      <c r="W89" s="8"/>
      <c r="X89" s="8"/>
      <c r="Y89" s="8"/>
      <c r="Z89" s="8"/>
      <c r="AA89" s="8"/>
      <c r="AB89" s="4"/>
      <c r="AC89" s="8"/>
      <c r="AD89" s="8"/>
      <c r="AE89" s="8"/>
      <c r="AF89" s="8"/>
      <c r="AG89" s="8"/>
      <c r="AH89" s="4"/>
    </row>
    <row r="90" spans="1:34" ht="17.100000000000001" customHeight="1" x14ac:dyDescent="0.3">
      <c r="A90" s="27" t="s">
        <v>669</v>
      </c>
      <c r="B90" s="27" t="s">
        <v>128</v>
      </c>
      <c r="C90" s="26" t="s">
        <v>670</v>
      </c>
      <c r="D90" s="29">
        <v>8.6</v>
      </c>
      <c r="E90" s="29">
        <v>9.0195000000000007</v>
      </c>
      <c r="F90" s="27">
        <v>2015</v>
      </c>
      <c r="G90" s="29">
        <v>6.2591999999999999</v>
      </c>
      <c r="H90" s="28">
        <f t="shared" si="3"/>
        <v>72.781395348837208</v>
      </c>
      <c r="I90" s="30">
        <f t="shared" si="4"/>
        <v>104.87790697674419</v>
      </c>
      <c r="J90" s="31">
        <v>1651</v>
      </c>
      <c r="K90" s="31">
        <v>653</v>
      </c>
      <c r="L90" s="31">
        <v>1676</v>
      </c>
      <c r="M90" s="32">
        <v>15.8</v>
      </c>
      <c r="N90" s="33">
        <f t="shared" si="5"/>
        <v>6.352386855042047E-2</v>
      </c>
    </row>
    <row r="91" spans="1:34" ht="17.100000000000001" customHeight="1" x14ac:dyDescent="0.3">
      <c r="A91" s="42" t="s">
        <v>493</v>
      </c>
      <c r="B91" s="17" t="s">
        <v>7</v>
      </c>
      <c r="C91" s="17" t="s">
        <v>494</v>
      </c>
      <c r="D91" s="43">
        <v>6.4000000953674299</v>
      </c>
      <c r="E91" s="43">
        <v>4.5383014678955096</v>
      </c>
      <c r="F91" s="17">
        <v>2014</v>
      </c>
      <c r="G91" s="36">
        <v>4.9000000953674299</v>
      </c>
      <c r="H91" s="28">
        <f t="shared" si="3"/>
        <v>76.562500349245951</v>
      </c>
      <c r="I91" s="30">
        <f t="shared" si="4"/>
        <v>70.910959379211718</v>
      </c>
      <c r="J91" s="31">
        <v>1124</v>
      </c>
      <c r="K91" s="40">
        <v>578</v>
      </c>
      <c r="L91" s="40">
        <v>999</v>
      </c>
      <c r="M91" s="41">
        <v>9.6</v>
      </c>
      <c r="N91" s="33">
        <f t="shared" si="5"/>
        <v>6.3088042152323595E-2</v>
      </c>
    </row>
    <row r="92" spans="1:34" ht="17.100000000000001" customHeight="1" x14ac:dyDescent="0.3">
      <c r="A92" s="27" t="s">
        <v>643</v>
      </c>
      <c r="B92" s="27" t="s">
        <v>128</v>
      </c>
      <c r="C92" s="26" t="s">
        <v>644</v>
      </c>
      <c r="D92" s="29">
        <v>9.4</v>
      </c>
      <c r="E92" s="29">
        <v>9.6229999999999993</v>
      </c>
      <c r="F92" s="27">
        <v>2015</v>
      </c>
      <c r="G92" s="29">
        <v>7.0679999999999996</v>
      </c>
      <c r="H92" s="28">
        <f t="shared" si="3"/>
        <v>75.191489361702125</v>
      </c>
      <c r="I92" s="30">
        <f t="shared" si="4"/>
        <v>102.37234042553192</v>
      </c>
      <c r="J92" s="31">
        <v>1629</v>
      </c>
      <c r="K92" s="31">
        <v>640</v>
      </c>
      <c r="L92" s="31">
        <v>1673</v>
      </c>
      <c r="M92" s="32">
        <v>14.2</v>
      </c>
      <c r="N92" s="33">
        <f t="shared" si="5"/>
        <v>6.2843671225004241E-2</v>
      </c>
    </row>
    <row r="93" spans="1:34" ht="17.100000000000001" customHeight="1" x14ac:dyDescent="0.3">
      <c r="A93" s="34" t="s">
        <v>79</v>
      </c>
      <c r="B93" s="16" t="s">
        <v>17</v>
      </c>
      <c r="C93" s="16" t="s">
        <v>80</v>
      </c>
      <c r="D93" s="35">
        <v>24.5</v>
      </c>
      <c r="E93" s="35">
        <v>26.529</v>
      </c>
      <c r="F93" s="16">
        <v>2016</v>
      </c>
      <c r="G93" s="36">
        <v>18</v>
      </c>
      <c r="H93" s="28">
        <f t="shared" si="3"/>
        <v>73.469387755102048</v>
      </c>
      <c r="I93" s="30">
        <f t="shared" si="4"/>
        <v>108.28163265306122</v>
      </c>
      <c r="J93" s="44">
        <v>1725</v>
      </c>
      <c r="K93" s="30">
        <v>840</v>
      </c>
      <c r="L93" s="30">
        <v>1250</v>
      </c>
      <c r="M93" s="32">
        <v>26.6</v>
      </c>
      <c r="N93" s="33">
        <f t="shared" si="5"/>
        <v>6.2771960958296361E-2</v>
      </c>
    </row>
    <row r="94" spans="1:34" ht="17.100000000000001" customHeight="1" x14ac:dyDescent="0.3">
      <c r="A94" s="27" t="s">
        <v>611</v>
      </c>
      <c r="B94" s="27" t="s">
        <v>11</v>
      </c>
      <c r="C94" s="26" t="s">
        <v>612</v>
      </c>
      <c r="D94" s="29">
        <v>28.5</v>
      </c>
      <c r="E94" s="29">
        <v>24.806999999999999</v>
      </c>
      <c r="F94" s="27">
        <v>2017</v>
      </c>
      <c r="G94" s="29">
        <v>23.06</v>
      </c>
      <c r="H94" s="28">
        <f t="shared" si="3"/>
        <v>80.912280701754383</v>
      </c>
      <c r="I94" s="30">
        <f t="shared" si="4"/>
        <v>87.042105263157893</v>
      </c>
      <c r="J94" s="31">
        <v>1388</v>
      </c>
      <c r="K94" s="31">
        <v>717</v>
      </c>
      <c r="L94" s="31">
        <v>1099</v>
      </c>
      <c r="M94" s="32">
        <v>12.3</v>
      </c>
      <c r="N94" s="33">
        <f t="shared" si="5"/>
        <v>6.2710450477779456E-2</v>
      </c>
    </row>
    <row r="95" spans="1:34" ht="17.100000000000001" customHeight="1" x14ac:dyDescent="0.3">
      <c r="A95" s="27" t="s">
        <v>767</v>
      </c>
      <c r="B95" s="27" t="s">
        <v>22</v>
      </c>
      <c r="C95" s="26" t="s">
        <v>768</v>
      </c>
      <c r="D95" s="29">
        <v>27</v>
      </c>
      <c r="E95" s="29">
        <v>17</v>
      </c>
      <c r="F95" s="27">
        <v>2014</v>
      </c>
      <c r="G95" s="29">
        <v>17.89</v>
      </c>
      <c r="H95" s="28">
        <f t="shared" si="3"/>
        <v>66.259259259259252</v>
      </c>
      <c r="I95" s="30">
        <f t="shared" si="4"/>
        <v>62.962962962962962</v>
      </c>
      <c r="J95" s="31">
        <v>1005</v>
      </c>
      <c r="K95" s="31">
        <v>574</v>
      </c>
      <c r="L95" s="31">
        <v>828</v>
      </c>
      <c r="M95" s="32">
        <v>10.9</v>
      </c>
      <c r="N95" s="33">
        <f t="shared" si="5"/>
        <v>6.2649714391007916E-2</v>
      </c>
    </row>
    <row r="96" spans="1:34" ht="17.100000000000001" customHeight="1" x14ac:dyDescent="0.3">
      <c r="A96" s="27" t="s">
        <v>671</v>
      </c>
      <c r="B96" s="27" t="s">
        <v>128</v>
      </c>
      <c r="C96" s="26" t="s">
        <v>672</v>
      </c>
      <c r="D96" s="29">
        <v>8.4</v>
      </c>
      <c r="E96" s="29">
        <v>7.8609999999999998</v>
      </c>
      <c r="F96" s="27">
        <v>2015</v>
      </c>
      <c r="G96" s="29">
        <v>6.1</v>
      </c>
      <c r="H96" s="28">
        <f t="shared" si="3"/>
        <v>72.61904761904762</v>
      </c>
      <c r="I96" s="30">
        <f t="shared" si="4"/>
        <v>93.583333333333329</v>
      </c>
      <c r="J96" s="31">
        <v>1494</v>
      </c>
      <c r="K96" s="31">
        <v>620</v>
      </c>
      <c r="L96" s="31">
        <v>1524</v>
      </c>
      <c r="M96" s="32">
        <v>11.6</v>
      </c>
      <c r="N96" s="33">
        <f t="shared" si="5"/>
        <v>6.2639446675591251E-2</v>
      </c>
    </row>
    <row r="97" spans="1:34" ht="17.100000000000001" customHeight="1" x14ac:dyDescent="0.3">
      <c r="A97" s="34" t="s">
        <v>81</v>
      </c>
      <c r="B97" s="16" t="s">
        <v>22</v>
      </c>
      <c r="C97" s="16" t="s">
        <v>82</v>
      </c>
      <c r="D97" s="35">
        <v>14.3</v>
      </c>
      <c r="E97" s="35">
        <v>9.7319999999999993</v>
      </c>
      <c r="F97" s="16">
        <v>2014</v>
      </c>
      <c r="G97" s="36">
        <v>10.8</v>
      </c>
      <c r="H97" s="28">
        <f t="shared" si="3"/>
        <v>75.52447552447552</v>
      </c>
      <c r="I97" s="30">
        <f t="shared" si="4"/>
        <v>68.055944055944053</v>
      </c>
      <c r="J97" s="44">
        <v>1087</v>
      </c>
      <c r="K97" s="30">
        <v>588</v>
      </c>
      <c r="L97" s="30">
        <v>945</v>
      </c>
      <c r="M97" s="32">
        <v>11.2</v>
      </c>
      <c r="N97" s="33">
        <f t="shared" si="5"/>
        <v>6.2608964172901613E-2</v>
      </c>
      <c r="O97" s="54"/>
      <c r="P97" s="54"/>
      <c r="Q97" s="54"/>
      <c r="S97" s="54"/>
      <c r="T97" s="54"/>
      <c r="U97" s="54"/>
      <c r="V97" s="54"/>
      <c r="W97" s="54"/>
      <c r="X97" s="54"/>
      <c r="Y97" s="54"/>
      <c r="Z97" s="54"/>
      <c r="AA97" s="54"/>
      <c r="AB97" s="54"/>
      <c r="AC97" s="54"/>
      <c r="AD97" s="54"/>
      <c r="AE97" s="54"/>
      <c r="AF97" s="54"/>
      <c r="AG97" s="54"/>
      <c r="AH97" s="54"/>
    </row>
    <row r="98" spans="1:34" ht="17.100000000000001" customHeight="1" x14ac:dyDescent="0.3">
      <c r="A98" s="27" t="s">
        <v>1040</v>
      </c>
      <c r="B98" s="27" t="s">
        <v>1041</v>
      </c>
      <c r="C98" s="26" t="s">
        <v>1042</v>
      </c>
      <c r="D98" s="29">
        <v>51</v>
      </c>
      <c r="E98" s="29">
        <v>70</v>
      </c>
      <c r="F98" s="27">
        <v>2019</v>
      </c>
      <c r="G98" s="29">
        <v>25.62</v>
      </c>
      <c r="H98" s="28">
        <f t="shared" si="3"/>
        <v>50.235294117647058</v>
      </c>
      <c r="I98" s="30">
        <f t="shared" si="4"/>
        <v>137.25490196078431</v>
      </c>
      <c r="J98" s="31">
        <v>2197</v>
      </c>
      <c r="K98" s="31">
        <v>727</v>
      </c>
      <c r="L98" s="31">
        <v>2091</v>
      </c>
      <c r="M98" s="32">
        <v>26.7</v>
      </c>
      <c r="N98" s="33">
        <f t="shared" si="5"/>
        <v>6.2473783323069784E-2</v>
      </c>
    </row>
    <row r="99" spans="1:34" ht="17.100000000000001" customHeight="1" x14ac:dyDescent="0.3">
      <c r="A99" s="27" t="s">
        <v>833</v>
      </c>
      <c r="B99" s="27" t="s">
        <v>22</v>
      </c>
      <c r="C99" s="26" t="s">
        <v>834</v>
      </c>
      <c r="D99" s="29">
        <v>7.9</v>
      </c>
      <c r="E99" s="29">
        <v>5.13</v>
      </c>
      <c r="F99" s="27">
        <v>2014</v>
      </c>
      <c r="G99" s="29">
        <v>4.9000000000000004</v>
      </c>
      <c r="H99" s="28">
        <f t="shared" si="3"/>
        <v>62.025316455696199</v>
      </c>
      <c r="I99" s="30">
        <f t="shared" si="4"/>
        <v>64.936708860759495</v>
      </c>
      <c r="J99" s="31">
        <v>1040</v>
      </c>
      <c r="K99" s="31">
        <v>589</v>
      </c>
      <c r="L99" s="31">
        <v>848</v>
      </c>
      <c r="M99" s="32">
        <v>10.9</v>
      </c>
      <c r="N99" s="33">
        <f t="shared" si="5"/>
        <v>6.2439143135345668E-2</v>
      </c>
    </row>
    <row r="100" spans="1:34" ht="17.100000000000001" customHeight="1" x14ac:dyDescent="0.3">
      <c r="A100" s="27" t="s">
        <v>683</v>
      </c>
      <c r="B100" s="27" t="s">
        <v>11</v>
      </c>
      <c r="C100" s="26" t="s">
        <v>684</v>
      </c>
      <c r="D100" s="29">
        <v>18.899999999999999</v>
      </c>
      <c r="E100" s="29">
        <v>16.63721</v>
      </c>
      <c r="F100" s="27">
        <v>2014</v>
      </c>
      <c r="G100" s="29">
        <v>13.5</v>
      </c>
      <c r="H100" s="28">
        <f t="shared" si="3"/>
        <v>71.428571428571431</v>
      </c>
      <c r="I100" s="30">
        <f t="shared" si="4"/>
        <v>88.02756613756614</v>
      </c>
      <c r="J100" s="31">
        <v>1412</v>
      </c>
      <c r="K100" s="31">
        <v>691</v>
      </c>
      <c r="L100" s="31">
        <v>1243</v>
      </c>
      <c r="M100" s="32">
        <v>12</v>
      </c>
      <c r="N100" s="33">
        <f t="shared" si="5"/>
        <v>6.2342468935953355E-2</v>
      </c>
    </row>
    <row r="101" spans="1:34" ht="17.100000000000001" customHeight="1" x14ac:dyDescent="0.3">
      <c r="A101" s="27" t="s">
        <v>679</v>
      </c>
      <c r="B101" s="27" t="s">
        <v>128</v>
      </c>
      <c r="C101" s="26" t="s">
        <v>680</v>
      </c>
      <c r="D101" s="29">
        <v>9.1</v>
      </c>
      <c r="E101" s="29">
        <v>9.3870000000000005</v>
      </c>
      <c r="F101" s="27">
        <v>2016</v>
      </c>
      <c r="G101" s="29">
        <v>6.5587</v>
      </c>
      <c r="H101" s="28">
        <f t="shared" si="3"/>
        <v>72.073626373626368</v>
      </c>
      <c r="I101" s="30">
        <f t="shared" si="4"/>
        <v>103.15384615384616</v>
      </c>
      <c r="J101" s="31">
        <v>1655</v>
      </c>
      <c r="K101" s="31">
        <v>644</v>
      </c>
      <c r="L101" s="31">
        <v>1696</v>
      </c>
      <c r="M101" s="32">
        <v>15.5</v>
      </c>
      <c r="N101" s="33">
        <f t="shared" si="5"/>
        <v>6.2328607947943301E-2</v>
      </c>
    </row>
    <row r="102" spans="1:34" ht="17.100000000000001" customHeight="1" x14ac:dyDescent="0.3">
      <c r="A102" s="27" t="s">
        <v>827</v>
      </c>
      <c r="B102" s="27" t="s">
        <v>128</v>
      </c>
      <c r="C102" s="26" t="s">
        <v>828</v>
      </c>
      <c r="D102" s="29">
        <v>102.7</v>
      </c>
      <c r="E102" s="29">
        <v>125.358</v>
      </c>
      <c r="F102" s="27">
        <v>2015</v>
      </c>
      <c r="G102" s="29">
        <v>64</v>
      </c>
      <c r="H102" s="28">
        <f t="shared" si="3"/>
        <v>62.317429406037</v>
      </c>
      <c r="I102" s="30">
        <f t="shared" si="4"/>
        <v>122.06231742940604</v>
      </c>
      <c r="J102" s="31">
        <v>1963</v>
      </c>
      <c r="K102" s="31">
        <v>446</v>
      </c>
      <c r="L102" s="31">
        <v>2656</v>
      </c>
      <c r="M102" s="32">
        <v>6.2</v>
      </c>
      <c r="N102" s="33">
        <f t="shared" si="5"/>
        <v>6.218151677504128E-2</v>
      </c>
      <c r="O102" s="54"/>
      <c r="P102" s="54"/>
      <c r="Q102" s="54"/>
      <c r="S102" s="54"/>
      <c r="T102" s="54"/>
      <c r="U102" s="54"/>
      <c r="V102" s="54"/>
      <c r="W102" s="54"/>
      <c r="X102" s="54"/>
      <c r="Y102" s="54"/>
      <c r="Z102" s="54"/>
      <c r="AA102" s="54"/>
      <c r="AB102" s="54"/>
      <c r="AC102" s="54"/>
      <c r="AD102" s="54"/>
      <c r="AE102" s="54"/>
      <c r="AF102" s="54"/>
      <c r="AG102" s="54"/>
      <c r="AH102" s="54"/>
    </row>
    <row r="103" spans="1:34" ht="17.100000000000001" customHeight="1" x14ac:dyDescent="0.3">
      <c r="A103" s="27" t="s">
        <v>699</v>
      </c>
      <c r="B103" s="27" t="s">
        <v>128</v>
      </c>
      <c r="C103" s="26" t="s">
        <v>700</v>
      </c>
      <c r="D103" s="29">
        <v>6.4</v>
      </c>
      <c r="E103" s="29">
        <v>6.5060000000000002</v>
      </c>
      <c r="F103" s="27">
        <v>2016</v>
      </c>
      <c r="G103" s="29">
        <v>4.4874000000000001</v>
      </c>
      <c r="H103" s="28">
        <f t="shared" si="3"/>
        <v>70.115624999999994</v>
      </c>
      <c r="I103" s="30">
        <f t="shared" si="4"/>
        <v>101.65625</v>
      </c>
      <c r="J103" s="31">
        <v>1635</v>
      </c>
      <c r="K103" s="31">
        <v>652</v>
      </c>
      <c r="L103" s="31">
        <v>1657</v>
      </c>
      <c r="M103" s="32">
        <v>15.8</v>
      </c>
      <c r="N103" s="33">
        <f t="shared" si="5"/>
        <v>6.2175076452599391E-2</v>
      </c>
    </row>
    <row r="104" spans="1:34" ht="17.100000000000001" customHeight="1" x14ac:dyDescent="0.3">
      <c r="A104" s="27" t="s">
        <v>703</v>
      </c>
      <c r="B104" s="27" t="s">
        <v>128</v>
      </c>
      <c r="C104" s="26" t="s">
        <v>704</v>
      </c>
      <c r="D104" s="29">
        <v>9.3000000000000007</v>
      </c>
      <c r="E104" s="29">
        <v>9.5609999999999999</v>
      </c>
      <c r="F104" s="27">
        <v>2015</v>
      </c>
      <c r="G104" s="29">
        <v>6.5</v>
      </c>
      <c r="H104" s="28">
        <f t="shared" si="3"/>
        <v>69.892473118279568</v>
      </c>
      <c r="I104" s="30">
        <f t="shared" si="4"/>
        <v>102.80645161290323</v>
      </c>
      <c r="J104" s="31">
        <v>1656</v>
      </c>
      <c r="K104" s="31">
        <v>645</v>
      </c>
      <c r="L104" s="31">
        <v>1694</v>
      </c>
      <c r="M104" s="32">
        <v>15.5</v>
      </c>
      <c r="N104" s="33">
        <f t="shared" si="5"/>
        <v>6.2081190587501951E-2</v>
      </c>
    </row>
    <row r="105" spans="1:34" ht="17.100000000000001" customHeight="1" x14ac:dyDescent="0.3">
      <c r="A105" s="27" t="s">
        <v>673</v>
      </c>
      <c r="B105" s="27" t="s">
        <v>128</v>
      </c>
      <c r="C105" s="26" t="s">
        <v>674</v>
      </c>
      <c r="D105" s="29">
        <v>9.4</v>
      </c>
      <c r="E105" s="29">
        <v>9.6349999999999998</v>
      </c>
      <c r="F105" s="27">
        <v>2015</v>
      </c>
      <c r="G105" s="29">
        <v>6.8212999999999999</v>
      </c>
      <c r="H105" s="28">
        <f t="shared" si="3"/>
        <v>72.567021276595739</v>
      </c>
      <c r="I105" s="30">
        <f t="shared" si="4"/>
        <v>102.5</v>
      </c>
      <c r="J105" s="31">
        <v>1654</v>
      </c>
      <c r="K105" s="31">
        <v>645</v>
      </c>
      <c r="L105" s="31">
        <v>1696</v>
      </c>
      <c r="M105" s="32">
        <v>14.6</v>
      </c>
      <c r="N105" s="33">
        <f t="shared" si="5"/>
        <v>6.1970979443772674E-2</v>
      </c>
    </row>
    <row r="106" spans="1:34" ht="17.100000000000001" customHeight="1" x14ac:dyDescent="0.3">
      <c r="A106" s="27" t="s">
        <v>860</v>
      </c>
      <c r="B106" s="27" t="s">
        <v>0</v>
      </c>
      <c r="C106" s="26" t="s">
        <v>861</v>
      </c>
      <c r="D106" s="29">
        <v>99.5</v>
      </c>
      <c r="E106" s="29">
        <v>116</v>
      </c>
      <c r="F106" s="27">
        <v>2018</v>
      </c>
      <c r="G106" s="29">
        <v>60</v>
      </c>
      <c r="H106" s="28">
        <f t="shared" si="3"/>
        <v>60.301507537688444</v>
      </c>
      <c r="I106" s="30">
        <f t="shared" si="4"/>
        <v>116.58291457286433</v>
      </c>
      <c r="J106" s="31">
        <v>1883</v>
      </c>
      <c r="K106" s="31">
        <v>520</v>
      </c>
      <c r="L106" s="31">
        <v>2327</v>
      </c>
      <c r="M106" s="32">
        <v>17.600000000000001</v>
      </c>
      <c r="N106" s="33">
        <f t="shared" si="5"/>
        <v>6.1913390638802086E-2</v>
      </c>
    </row>
    <row r="107" spans="1:34" ht="17.100000000000001" customHeight="1" x14ac:dyDescent="0.3">
      <c r="A107" s="27" t="s">
        <v>743</v>
      </c>
      <c r="B107" s="27" t="s">
        <v>128</v>
      </c>
      <c r="C107" s="26" t="s">
        <v>744</v>
      </c>
      <c r="D107" s="29">
        <v>14.8</v>
      </c>
      <c r="E107" s="29">
        <v>13.7</v>
      </c>
      <c r="F107" s="27">
        <v>2017</v>
      </c>
      <c r="G107" s="29">
        <v>9.9990000000000006</v>
      </c>
      <c r="H107" s="28">
        <f t="shared" si="3"/>
        <v>67.560810810810807</v>
      </c>
      <c r="I107" s="30">
        <f t="shared" si="4"/>
        <v>92.567567567567565</v>
      </c>
      <c r="J107" s="31">
        <v>1499</v>
      </c>
      <c r="K107" s="31">
        <v>620</v>
      </c>
      <c r="L107" s="31">
        <v>1535</v>
      </c>
      <c r="M107" s="32">
        <v>11.7</v>
      </c>
      <c r="N107" s="33">
        <f t="shared" si="5"/>
        <v>6.175288029857743E-2</v>
      </c>
    </row>
    <row r="108" spans="1:34" ht="17.100000000000001" customHeight="1" x14ac:dyDescent="0.3">
      <c r="A108" s="27" t="s">
        <v>653</v>
      </c>
      <c r="B108" s="27" t="s">
        <v>128</v>
      </c>
      <c r="C108" s="26" t="s">
        <v>654</v>
      </c>
      <c r="D108" s="29">
        <v>9.5</v>
      </c>
      <c r="E108" s="29">
        <v>9.6440000000000001</v>
      </c>
      <c r="F108" s="27">
        <v>2016</v>
      </c>
      <c r="G108" s="29">
        <v>7.0679999999999996</v>
      </c>
      <c r="H108" s="28">
        <f t="shared" si="3"/>
        <v>74.400000000000006</v>
      </c>
      <c r="I108" s="30">
        <f t="shared" si="4"/>
        <v>101.51578947368421</v>
      </c>
      <c r="J108" s="31">
        <v>1645</v>
      </c>
      <c r="K108" s="31">
        <v>648</v>
      </c>
      <c r="L108" s="31">
        <v>1675</v>
      </c>
      <c r="M108" s="32">
        <v>15.1</v>
      </c>
      <c r="N108" s="33">
        <f t="shared" si="5"/>
        <v>6.1711726123820185E-2</v>
      </c>
    </row>
    <row r="109" spans="1:34" ht="17.100000000000001" customHeight="1" x14ac:dyDescent="0.3">
      <c r="A109" s="27" t="s">
        <v>801</v>
      </c>
      <c r="B109" s="27" t="s">
        <v>21</v>
      </c>
      <c r="C109" s="26" t="s">
        <v>802</v>
      </c>
      <c r="D109" s="29">
        <v>18.8</v>
      </c>
      <c r="E109" s="29">
        <v>19.943999999999999</v>
      </c>
      <c r="F109" s="27">
        <v>2017</v>
      </c>
      <c r="G109" s="29">
        <v>11.946199999999999</v>
      </c>
      <c r="H109" s="28">
        <f t="shared" si="3"/>
        <v>63.543617021276596</v>
      </c>
      <c r="I109" s="30">
        <f t="shared" si="4"/>
        <v>106.08510638297872</v>
      </c>
      <c r="J109" s="31">
        <v>1722</v>
      </c>
      <c r="K109" s="31">
        <v>625</v>
      </c>
      <c r="L109" s="31">
        <v>1819</v>
      </c>
      <c r="M109" s="32">
        <v>11.6</v>
      </c>
      <c r="N109" s="33">
        <f t="shared" si="5"/>
        <v>6.1605752835643859E-2</v>
      </c>
    </row>
    <row r="110" spans="1:34" ht="17.100000000000001" customHeight="1" x14ac:dyDescent="0.3">
      <c r="A110" s="27" t="s">
        <v>681</v>
      </c>
      <c r="B110" s="27" t="s">
        <v>11</v>
      </c>
      <c r="C110" s="26" t="s">
        <v>682</v>
      </c>
      <c r="D110" s="29">
        <v>76</v>
      </c>
      <c r="E110" s="29">
        <v>60.35</v>
      </c>
      <c r="F110" s="27">
        <v>2018</v>
      </c>
      <c r="G110" s="29">
        <v>54.6</v>
      </c>
      <c r="H110" s="28">
        <f t="shared" si="3"/>
        <v>71.84210526315789</v>
      </c>
      <c r="I110" s="30">
        <f t="shared" si="4"/>
        <v>79.40789473684211</v>
      </c>
      <c r="J110" s="31">
        <v>1290</v>
      </c>
      <c r="K110" s="31">
        <v>696</v>
      </c>
      <c r="L110" s="31">
        <v>931</v>
      </c>
      <c r="M110" s="32">
        <v>13.9</v>
      </c>
      <c r="N110" s="33">
        <f t="shared" si="5"/>
        <v>6.1556507547939621E-2</v>
      </c>
    </row>
    <row r="111" spans="1:34" ht="17.100000000000001" customHeight="1" x14ac:dyDescent="0.3">
      <c r="A111" s="42" t="s">
        <v>326</v>
      </c>
      <c r="B111" s="17" t="s">
        <v>128</v>
      </c>
      <c r="C111" s="17" t="s">
        <v>327</v>
      </c>
      <c r="D111" s="43">
        <v>7.9000000953674299</v>
      </c>
      <c r="E111" s="43">
        <v>7.9499998092651403</v>
      </c>
      <c r="F111" s="17">
        <v>2014</v>
      </c>
      <c r="G111" s="36">
        <v>5.3000001907348597</v>
      </c>
      <c r="H111" s="28">
        <f t="shared" si="3"/>
        <v>67.088609199419963</v>
      </c>
      <c r="I111" s="30">
        <f t="shared" si="4"/>
        <v>100.63290776321674</v>
      </c>
      <c r="J111" s="31">
        <v>1637</v>
      </c>
      <c r="K111" s="40">
        <v>637</v>
      </c>
      <c r="L111" s="40">
        <v>1688</v>
      </c>
      <c r="M111" s="41">
        <v>15</v>
      </c>
      <c r="N111" s="33">
        <f t="shared" si="5"/>
        <v>6.1473981529148888E-2</v>
      </c>
    </row>
    <row r="112" spans="1:34" ht="17.100000000000001" customHeight="1" x14ac:dyDescent="0.3">
      <c r="A112" s="27" t="s">
        <v>769</v>
      </c>
      <c r="B112" s="27" t="s">
        <v>519</v>
      </c>
      <c r="C112" s="26" t="s">
        <v>770</v>
      </c>
      <c r="D112" s="29">
        <v>265</v>
      </c>
      <c r="E112" s="29">
        <v>300</v>
      </c>
      <c r="F112" s="27">
        <v>2019</v>
      </c>
      <c r="G112" s="29">
        <v>175</v>
      </c>
      <c r="H112" s="28">
        <f t="shared" si="3"/>
        <v>66.037735849056602</v>
      </c>
      <c r="I112" s="30">
        <f t="shared" si="4"/>
        <v>113.20754716981132</v>
      </c>
      <c r="J112" s="31">
        <v>1842</v>
      </c>
      <c r="K112" s="31">
        <v>602</v>
      </c>
      <c r="L112" s="31">
        <v>2072</v>
      </c>
      <c r="M112" s="32">
        <v>18.2</v>
      </c>
      <c r="N112" s="33">
        <f t="shared" si="5"/>
        <v>6.1459037551471946E-2</v>
      </c>
    </row>
    <row r="113" spans="1:34" ht="17.100000000000001" customHeight="1" x14ac:dyDescent="0.3">
      <c r="A113" s="42" t="s">
        <v>340</v>
      </c>
      <c r="B113" s="17" t="s">
        <v>6</v>
      </c>
      <c r="C113" s="17" t="s">
        <v>341</v>
      </c>
      <c r="D113" s="43">
        <v>10.699999809265099</v>
      </c>
      <c r="E113" s="43">
        <v>10.5</v>
      </c>
      <c r="F113" s="17">
        <v>2015</v>
      </c>
      <c r="G113" s="36">
        <v>7.0069999694824201</v>
      </c>
      <c r="H113" s="28">
        <f t="shared" si="3"/>
        <v>65.485982190533122</v>
      </c>
      <c r="I113" s="30">
        <f t="shared" si="4"/>
        <v>98.130842870745482</v>
      </c>
      <c r="J113" s="31">
        <v>1599</v>
      </c>
      <c r="K113" s="40">
        <v>546</v>
      </c>
      <c r="L113" s="40">
        <v>1868</v>
      </c>
      <c r="M113" s="41">
        <v>13.6</v>
      </c>
      <c r="N113" s="33">
        <f t="shared" si="5"/>
        <v>6.1370133127420567E-2</v>
      </c>
      <c r="O113" s="54"/>
      <c r="Q113" s="54"/>
      <c r="S113" s="54"/>
      <c r="T113" s="54"/>
      <c r="U113" s="54"/>
      <c r="V113" s="54"/>
      <c r="W113" s="54"/>
      <c r="X113" s="54"/>
      <c r="Y113" s="54"/>
      <c r="Z113" s="54"/>
      <c r="AA113" s="54"/>
      <c r="AB113" s="54"/>
      <c r="AC113" s="54"/>
      <c r="AD113" s="54"/>
      <c r="AE113" s="54"/>
      <c r="AF113" s="54"/>
      <c r="AG113" s="54"/>
      <c r="AH113" s="54"/>
    </row>
    <row r="114" spans="1:34" ht="17.100000000000001" customHeight="1" x14ac:dyDescent="0.3">
      <c r="A114" s="34" t="s">
        <v>83</v>
      </c>
      <c r="B114" s="16" t="s">
        <v>22</v>
      </c>
      <c r="C114" s="16" t="s">
        <v>84</v>
      </c>
      <c r="D114" s="35">
        <v>25.6</v>
      </c>
      <c r="E114" s="35">
        <v>15.8</v>
      </c>
      <c r="F114" s="16">
        <v>2015</v>
      </c>
      <c r="G114" s="36">
        <v>16.2</v>
      </c>
      <c r="H114" s="28">
        <f t="shared" si="3"/>
        <v>63.28125</v>
      </c>
      <c r="I114" s="30">
        <f t="shared" si="4"/>
        <v>61.71875</v>
      </c>
      <c r="J114" s="44">
        <v>1007</v>
      </c>
      <c r="K114" s="30">
        <v>572</v>
      </c>
      <c r="L114" s="30">
        <v>854</v>
      </c>
      <c r="M114" s="32">
        <v>9.9</v>
      </c>
      <c r="N114" s="33">
        <f t="shared" si="5"/>
        <v>6.1289721946375372E-2</v>
      </c>
    </row>
    <row r="115" spans="1:34" ht="17.100000000000001" customHeight="1" x14ac:dyDescent="0.3">
      <c r="A115" s="42" t="s">
        <v>276</v>
      </c>
      <c r="B115" s="17" t="s">
        <v>17</v>
      </c>
      <c r="C115" s="17" t="s">
        <v>277</v>
      </c>
      <c r="D115" s="43">
        <v>8</v>
      </c>
      <c r="E115" s="43">
        <v>9</v>
      </c>
      <c r="F115" s="17">
        <v>2016</v>
      </c>
      <c r="G115" s="36">
        <v>6.2300000190734899</v>
      </c>
      <c r="H115" s="28">
        <f t="shared" si="3"/>
        <v>77.875000238418622</v>
      </c>
      <c r="I115" s="30">
        <f t="shared" si="4"/>
        <v>112.5</v>
      </c>
      <c r="J115" s="31">
        <v>1836</v>
      </c>
      <c r="K115" s="40">
        <v>826</v>
      </c>
      <c r="L115" s="40">
        <v>1383</v>
      </c>
      <c r="M115" s="41">
        <v>23.8</v>
      </c>
      <c r="N115" s="33">
        <f t="shared" si="5"/>
        <v>6.1274509803921566E-2</v>
      </c>
    </row>
    <row r="116" spans="1:34" ht="17.100000000000001" customHeight="1" x14ac:dyDescent="0.3">
      <c r="A116" s="27" t="s">
        <v>709</v>
      </c>
      <c r="B116" s="27" t="s">
        <v>128</v>
      </c>
      <c r="C116" s="26" t="s">
        <v>710</v>
      </c>
      <c r="D116" s="29">
        <v>9.4</v>
      </c>
      <c r="E116" s="29">
        <v>9.6304999999999996</v>
      </c>
      <c r="F116" s="27">
        <v>2015</v>
      </c>
      <c r="G116" s="29">
        <v>6.5387000000000004</v>
      </c>
      <c r="H116" s="28">
        <f t="shared" si="3"/>
        <v>69.560638297872345</v>
      </c>
      <c r="I116" s="30">
        <f t="shared" si="4"/>
        <v>102.45212765957447</v>
      </c>
      <c r="J116" s="31">
        <v>1676</v>
      </c>
      <c r="K116" s="31">
        <v>657</v>
      </c>
      <c r="L116" s="31">
        <v>1697</v>
      </c>
      <c r="M116" s="32">
        <v>16.100000000000001</v>
      </c>
      <c r="N116" s="33">
        <f t="shared" si="5"/>
        <v>6.1128954450820089E-2</v>
      </c>
    </row>
    <row r="117" spans="1:34" ht="17.100000000000001" customHeight="1" x14ac:dyDescent="0.3">
      <c r="A117" s="27" t="s">
        <v>583</v>
      </c>
      <c r="B117" s="27" t="s">
        <v>4</v>
      </c>
      <c r="C117" s="26" t="s">
        <v>584</v>
      </c>
      <c r="D117" s="29">
        <v>4</v>
      </c>
      <c r="E117" s="29">
        <v>3.4</v>
      </c>
      <c r="F117" s="27">
        <v>2015</v>
      </c>
      <c r="G117" s="29">
        <v>3.7</v>
      </c>
      <c r="H117" s="28">
        <f t="shared" si="3"/>
        <v>92.5</v>
      </c>
      <c r="I117" s="30">
        <f t="shared" si="4"/>
        <v>85</v>
      </c>
      <c r="J117" s="31">
        <v>1395</v>
      </c>
      <c r="K117" s="31">
        <v>708</v>
      </c>
      <c r="L117" s="31">
        <v>1194</v>
      </c>
      <c r="M117" s="32">
        <v>10.5</v>
      </c>
      <c r="N117" s="33">
        <f t="shared" si="5"/>
        <v>6.093189964157706E-2</v>
      </c>
    </row>
    <row r="118" spans="1:34" ht="17.100000000000001" customHeight="1" x14ac:dyDescent="0.3">
      <c r="A118" s="42" t="s">
        <v>442</v>
      </c>
      <c r="B118" s="17" t="s">
        <v>6</v>
      </c>
      <c r="C118" s="17" t="s">
        <v>443</v>
      </c>
      <c r="D118" s="43">
        <v>14.1000003814697</v>
      </c>
      <c r="E118" s="43">
        <v>11.825487136840801</v>
      </c>
      <c r="F118" s="17">
        <v>2014</v>
      </c>
      <c r="G118" s="36">
        <v>7.1641697883606001</v>
      </c>
      <c r="H118" s="28">
        <f t="shared" si="3"/>
        <v>50.80971343643219</v>
      </c>
      <c r="I118" s="30">
        <f t="shared" si="4"/>
        <v>83.868700829128514</v>
      </c>
      <c r="J118" s="31">
        <v>1377</v>
      </c>
      <c r="K118" s="40">
        <v>611</v>
      </c>
      <c r="L118" s="40">
        <v>1343</v>
      </c>
      <c r="M118" s="41">
        <v>13.5</v>
      </c>
      <c r="N118" s="33">
        <f t="shared" si="5"/>
        <v>6.0906827036404147E-2</v>
      </c>
      <c r="V118" s="54"/>
    </row>
    <row r="119" spans="1:34" ht="17.100000000000001" customHeight="1" x14ac:dyDescent="0.3">
      <c r="A119" s="27" t="s">
        <v>843</v>
      </c>
      <c r="B119" s="27" t="s">
        <v>11</v>
      </c>
      <c r="C119" s="26" t="s">
        <v>844</v>
      </c>
      <c r="D119" s="29">
        <v>44</v>
      </c>
      <c r="E119" s="29">
        <v>35</v>
      </c>
      <c r="F119" s="27">
        <v>2016</v>
      </c>
      <c r="G119" s="29">
        <v>27</v>
      </c>
      <c r="H119" s="28">
        <f t="shared" si="3"/>
        <v>61.363636363636367</v>
      </c>
      <c r="I119" s="30">
        <f t="shared" si="4"/>
        <v>79.545454545454547</v>
      </c>
      <c r="J119" s="31">
        <v>1308</v>
      </c>
      <c r="K119" s="31">
        <v>661</v>
      </c>
      <c r="L119" s="31">
        <v>1164</v>
      </c>
      <c r="M119" s="32">
        <v>10</v>
      </c>
      <c r="N119" s="33">
        <f t="shared" si="5"/>
        <v>6.0814567695301643E-2</v>
      </c>
    </row>
    <row r="120" spans="1:34" ht="17.100000000000001" customHeight="1" x14ac:dyDescent="0.3">
      <c r="A120" s="42" t="s">
        <v>430</v>
      </c>
      <c r="B120" s="17" t="s">
        <v>11</v>
      </c>
      <c r="C120" s="17" t="s">
        <v>431</v>
      </c>
      <c r="D120" s="43">
        <v>6.5</v>
      </c>
      <c r="E120" s="43">
        <v>5.5457382202148402</v>
      </c>
      <c r="F120" s="17">
        <v>2015</v>
      </c>
      <c r="G120" s="36">
        <v>4.5</v>
      </c>
      <c r="H120" s="28">
        <f t="shared" si="3"/>
        <v>69.230769230769226</v>
      </c>
      <c r="I120" s="30">
        <f t="shared" si="4"/>
        <v>85.319049541766773</v>
      </c>
      <c r="J120" s="31">
        <v>1404</v>
      </c>
      <c r="K120" s="40">
        <v>697</v>
      </c>
      <c r="L120" s="40">
        <v>1212</v>
      </c>
      <c r="M120" s="41">
        <v>15.1</v>
      </c>
      <c r="N120" s="33">
        <f t="shared" si="5"/>
        <v>6.0768553804677189E-2</v>
      </c>
    </row>
    <row r="121" spans="1:34" ht="17.100000000000001" customHeight="1" x14ac:dyDescent="0.3">
      <c r="A121" s="27" t="s">
        <v>677</v>
      </c>
      <c r="B121" s="27" t="s">
        <v>128</v>
      </c>
      <c r="C121" s="26" t="s">
        <v>678</v>
      </c>
      <c r="D121" s="29">
        <v>9</v>
      </c>
      <c r="E121" s="29">
        <v>9.0694999999999997</v>
      </c>
      <c r="F121" s="27">
        <v>2015</v>
      </c>
      <c r="G121" s="29">
        <v>6.4886999999999997</v>
      </c>
      <c r="H121" s="28">
        <f t="shared" si="3"/>
        <v>72.096666666666664</v>
      </c>
      <c r="I121" s="30">
        <f t="shared" si="4"/>
        <v>100.77222222222223</v>
      </c>
      <c r="J121" s="31">
        <v>1660</v>
      </c>
      <c r="K121" s="31">
        <v>650</v>
      </c>
      <c r="L121" s="31">
        <v>1694</v>
      </c>
      <c r="M121" s="32">
        <v>15.6</v>
      </c>
      <c r="N121" s="33">
        <f t="shared" si="5"/>
        <v>6.0706157965194109E-2</v>
      </c>
    </row>
    <row r="122" spans="1:34" ht="17.100000000000001" customHeight="1" x14ac:dyDescent="0.3">
      <c r="A122" s="27" t="s">
        <v>695</v>
      </c>
      <c r="B122" s="27" t="s">
        <v>128</v>
      </c>
      <c r="C122" s="26" t="s">
        <v>696</v>
      </c>
      <c r="D122" s="29">
        <v>9.5</v>
      </c>
      <c r="E122" s="29">
        <v>9.4469999999999992</v>
      </c>
      <c r="F122" s="27">
        <v>2016</v>
      </c>
      <c r="G122" s="29">
        <v>6.7145999999999999</v>
      </c>
      <c r="H122" s="28">
        <f t="shared" si="3"/>
        <v>70.680000000000007</v>
      </c>
      <c r="I122" s="30">
        <f t="shared" si="4"/>
        <v>99.442105263157899</v>
      </c>
      <c r="J122" s="31">
        <v>1639</v>
      </c>
      <c r="K122" s="31">
        <v>638</v>
      </c>
      <c r="L122" s="31">
        <v>1689</v>
      </c>
      <c r="M122" s="32">
        <v>15</v>
      </c>
      <c r="N122" s="33">
        <f t="shared" si="5"/>
        <v>6.0672425419864492E-2</v>
      </c>
    </row>
    <row r="123" spans="1:34" ht="17.100000000000001" customHeight="1" x14ac:dyDescent="0.3">
      <c r="A123" s="27" t="s">
        <v>731</v>
      </c>
      <c r="B123" s="27" t="s">
        <v>128</v>
      </c>
      <c r="C123" s="26" t="s">
        <v>732</v>
      </c>
      <c r="D123" s="29">
        <v>9.5</v>
      </c>
      <c r="E123" s="29">
        <v>9.5670000000000002</v>
      </c>
      <c r="F123" s="27">
        <v>2016</v>
      </c>
      <c r="G123" s="29">
        <v>6.4870000000000001</v>
      </c>
      <c r="H123" s="28">
        <f t="shared" si="3"/>
        <v>68.284210526315789</v>
      </c>
      <c r="I123" s="30">
        <f t="shared" si="4"/>
        <v>100.70526315789473</v>
      </c>
      <c r="J123" s="31">
        <v>1660</v>
      </c>
      <c r="K123" s="31">
        <v>641</v>
      </c>
      <c r="L123" s="31">
        <v>1712</v>
      </c>
      <c r="M123" s="32">
        <v>14.3</v>
      </c>
      <c r="N123" s="33">
        <f t="shared" si="5"/>
        <v>6.0665821179454661E-2</v>
      </c>
    </row>
    <row r="124" spans="1:34" ht="17.100000000000001" customHeight="1" x14ac:dyDescent="0.3">
      <c r="A124" s="42" t="s">
        <v>422</v>
      </c>
      <c r="B124" s="17" t="s">
        <v>11</v>
      </c>
      <c r="C124" s="17" t="s">
        <v>423</v>
      </c>
      <c r="D124" s="43">
        <v>12</v>
      </c>
      <c r="E124" s="43">
        <v>10.300000190734901</v>
      </c>
      <c r="F124" s="17">
        <v>2015</v>
      </c>
      <c r="G124" s="36">
        <v>9.3000001907348597</v>
      </c>
      <c r="H124" s="28">
        <f t="shared" si="3"/>
        <v>77.500001589457156</v>
      </c>
      <c r="I124" s="30">
        <f t="shared" si="4"/>
        <v>85.83333492279084</v>
      </c>
      <c r="J124" s="31">
        <v>1416</v>
      </c>
      <c r="K124" s="40">
        <v>693</v>
      </c>
      <c r="L124" s="40">
        <v>1250</v>
      </c>
      <c r="M124" s="41">
        <v>13.7</v>
      </c>
      <c r="N124" s="33">
        <f t="shared" si="5"/>
        <v>6.0616761951123477E-2</v>
      </c>
    </row>
    <row r="125" spans="1:34" ht="17.100000000000001" customHeight="1" x14ac:dyDescent="0.3">
      <c r="A125" s="42" t="s">
        <v>404</v>
      </c>
      <c r="B125" s="17" t="s">
        <v>11</v>
      </c>
      <c r="C125" s="17" t="s">
        <v>405</v>
      </c>
      <c r="D125" s="43">
        <v>3.4000000953674299</v>
      </c>
      <c r="E125" s="43">
        <v>3</v>
      </c>
      <c r="F125" s="17">
        <v>2015</v>
      </c>
      <c r="G125" s="36">
        <v>2.53999996185303</v>
      </c>
      <c r="H125" s="28">
        <f t="shared" ref="H125:H188" si="6">G125*10^6/(D125*10^4)</f>
        <v>74.705879135528036</v>
      </c>
      <c r="I125" s="30">
        <f t="shared" ref="I125:I188" si="7">E125*10^6/(D125*10^4)</f>
        <v>88.235291642713818</v>
      </c>
      <c r="J125" s="31">
        <v>1460</v>
      </c>
      <c r="K125" s="40">
        <v>698</v>
      </c>
      <c r="L125" s="40">
        <v>1259</v>
      </c>
      <c r="M125" s="41">
        <v>16.100000000000001</v>
      </c>
      <c r="N125" s="33">
        <f t="shared" ref="N125:N188" si="8">I125/J125</f>
        <v>6.0435131262132749E-2</v>
      </c>
    </row>
    <row r="126" spans="1:34" ht="17.100000000000001" customHeight="1" x14ac:dyDescent="0.3">
      <c r="A126" s="27" t="s">
        <v>693</v>
      </c>
      <c r="B126" s="27" t="s">
        <v>128</v>
      </c>
      <c r="C126" s="26" t="s">
        <v>694</v>
      </c>
      <c r="D126" s="29">
        <v>9.9</v>
      </c>
      <c r="E126" s="29">
        <v>9.8490000000000002</v>
      </c>
      <c r="F126" s="27">
        <v>2015</v>
      </c>
      <c r="G126" s="29">
        <v>6.9999000000000002</v>
      </c>
      <c r="H126" s="28">
        <f t="shared" si="6"/>
        <v>70.706060606060603</v>
      </c>
      <c r="I126" s="30">
        <f t="shared" si="7"/>
        <v>99.484848484848484</v>
      </c>
      <c r="J126" s="31">
        <v>1656</v>
      </c>
      <c r="K126" s="31">
        <v>643</v>
      </c>
      <c r="L126" s="31">
        <v>1704</v>
      </c>
      <c r="M126" s="32">
        <v>15.3</v>
      </c>
      <c r="N126" s="33">
        <f t="shared" si="8"/>
        <v>6.0075391597130726E-2</v>
      </c>
      <c r="O126" s="9"/>
      <c r="Q126" s="4"/>
      <c r="S126" s="8"/>
      <c r="T126" s="8"/>
      <c r="U126" s="8"/>
      <c r="V126" s="4"/>
      <c r="W126" s="8"/>
      <c r="X126" s="8"/>
      <c r="Y126" s="8"/>
      <c r="Z126" s="8"/>
      <c r="AA126" s="8"/>
      <c r="AB126" s="4"/>
      <c r="AC126" s="8"/>
      <c r="AD126" s="8"/>
      <c r="AE126" s="8"/>
      <c r="AF126" s="8"/>
      <c r="AG126" s="8"/>
      <c r="AH126" s="4"/>
    </row>
    <row r="127" spans="1:34" ht="17.100000000000001" customHeight="1" x14ac:dyDescent="0.3">
      <c r="A127" s="27" t="s">
        <v>713</v>
      </c>
      <c r="B127" s="27" t="s">
        <v>128</v>
      </c>
      <c r="C127" s="26" t="s">
        <v>714</v>
      </c>
      <c r="D127" s="29">
        <v>9.1999999999999993</v>
      </c>
      <c r="E127" s="29">
        <v>8.9855</v>
      </c>
      <c r="F127" s="27">
        <v>2015</v>
      </c>
      <c r="G127" s="29">
        <v>6.3737000000000004</v>
      </c>
      <c r="H127" s="28">
        <f t="shared" si="6"/>
        <v>69.279347826086962</v>
      </c>
      <c r="I127" s="30">
        <f t="shared" si="7"/>
        <v>97.668478260869563</v>
      </c>
      <c r="J127" s="31">
        <v>1626</v>
      </c>
      <c r="K127" s="31">
        <v>635</v>
      </c>
      <c r="L127" s="31">
        <v>1681</v>
      </c>
      <c r="M127" s="32">
        <v>14.3</v>
      </c>
      <c r="N127" s="33">
        <f t="shared" si="8"/>
        <v>6.0066714797582757E-2</v>
      </c>
    </row>
    <row r="128" spans="1:34" ht="17.100000000000001" customHeight="1" x14ac:dyDescent="0.3">
      <c r="A128" s="34" t="s">
        <v>85</v>
      </c>
      <c r="B128" s="16" t="s">
        <v>11</v>
      </c>
      <c r="C128" s="16" t="s">
        <v>86</v>
      </c>
      <c r="D128" s="35">
        <v>44</v>
      </c>
      <c r="E128" s="35">
        <v>40</v>
      </c>
      <c r="F128" s="16">
        <v>2017</v>
      </c>
      <c r="G128" s="36">
        <v>32.6</v>
      </c>
      <c r="H128" s="28">
        <f t="shared" si="6"/>
        <v>74.090909090909093</v>
      </c>
      <c r="I128" s="30">
        <f t="shared" si="7"/>
        <v>90.909090909090907</v>
      </c>
      <c r="J128" s="44">
        <v>1514</v>
      </c>
      <c r="K128" s="30">
        <v>703</v>
      </c>
      <c r="L128" s="30">
        <v>1315</v>
      </c>
      <c r="M128" s="32">
        <v>17.2</v>
      </c>
      <c r="N128" s="33">
        <f t="shared" si="8"/>
        <v>6.0045634682358594E-2</v>
      </c>
    </row>
    <row r="129" spans="1:34" ht="17.100000000000001" customHeight="1" x14ac:dyDescent="0.3">
      <c r="A129" s="27" t="s">
        <v>649</v>
      </c>
      <c r="B129" s="27" t="s">
        <v>11</v>
      </c>
      <c r="C129" s="26" t="s">
        <v>650</v>
      </c>
      <c r="D129" s="29">
        <v>15.1</v>
      </c>
      <c r="E129" s="29">
        <v>13.24</v>
      </c>
      <c r="F129" s="27">
        <v>2017</v>
      </c>
      <c r="G129" s="29">
        <v>11.3</v>
      </c>
      <c r="H129" s="28">
        <f t="shared" si="6"/>
        <v>74.83443708609272</v>
      </c>
      <c r="I129" s="30">
        <f t="shared" si="7"/>
        <v>87.682119205298008</v>
      </c>
      <c r="J129" s="31">
        <v>1461</v>
      </c>
      <c r="K129" s="31">
        <v>679</v>
      </c>
      <c r="L129" s="31">
        <v>1269</v>
      </c>
      <c r="M129" s="32">
        <v>15.4</v>
      </c>
      <c r="N129" s="33">
        <f t="shared" si="8"/>
        <v>6.0015139770908971E-2</v>
      </c>
      <c r="O129" s="9"/>
      <c r="Q129" s="4"/>
      <c r="S129" s="8"/>
      <c r="T129" s="8"/>
      <c r="U129" s="8"/>
      <c r="V129" s="4"/>
      <c r="W129" s="8"/>
      <c r="X129" s="8"/>
      <c r="Y129" s="8"/>
      <c r="Z129" s="8"/>
      <c r="AA129" s="8"/>
      <c r="AB129" s="4"/>
      <c r="AC129" s="8"/>
      <c r="AD129" s="8"/>
      <c r="AE129" s="8"/>
      <c r="AF129" s="8"/>
      <c r="AG129" s="8"/>
      <c r="AH129" s="4"/>
    </row>
    <row r="130" spans="1:34" ht="17.100000000000001" customHeight="1" x14ac:dyDescent="0.3">
      <c r="A130" s="27" t="s">
        <v>647</v>
      </c>
      <c r="B130" s="27" t="s">
        <v>128</v>
      </c>
      <c r="C130" s="26" t="s">
        <v>648</v>
      </c>
      <c r="D130" s="29">
        <v>56.1</v>
      </c>
      <c r="E130" s="29">
        <v>59.697000000000003</v>
      </c>
      <c r="F130" s="27">
        <v>2016</v>
      </c>
      <c r="G130" s="29">
        <v>42</v>
      </c>
      <c r="H130" s="28">
        <f t="shared" si="6"/>
        <v>74.866310160427801</v>
      </c>
      <c r="I130" s="30">
        <f t="shared" si="7"/>
        <v>106.41176470588235</v>
      </c>
      <c r="J130" s="31">
        <v>1778</v>
      </c>
      <c r="K130" s="31">
        <v>677</v>
      </c>
      <c r="L130" s="31">
        <v>1772</v>
      </c>
      <c r="M130" s="32">
        <v>20.3</v>
      </c>
      <c r="N130" s="33">
        <f t="shared" si="8"/>
        <v>5.9849136504995695E-2</v>
      </c>
    </row>
    <row r="131" spans="1:34" ht="17.100000000000001" customHeight="1" x14ac:dyDescent="0.3">
      <c r="A131" s="27" t="s">
        <v>685</v>
      </c>
      <c r="B131" s="27" t="s">
        <v>128</v>
      </c>
      <c r="C131" s="26" t="s">
        <v>686</v>
      </c>
      <c r="D131" s="29">
        <v>8.9</v>
      </c>
      <c r="E131" s="29">
        <v>8.6809999999999992</v>
      </c>
      <c r="F131" s="27">
        <v>2016</v>
      </c>
      <c r="G131" s="29">
        <v>6.35</v>
      </c>
      <c r="H131" s="28">
        <f t="shared" si="6"/>
        <v>71.348314606741567</v>
      </c>
      <c r="I131" s="30">
        <f t="shared" si="7"/>
        <v>97.539325842696627</v>
      </c>
      <c r="J131" s="31">
        <v>1630</v>
      </c>
      <c r="K131" s="31">
        <v>637</v>
      </c>
      <c r="L131" s="31">
        <v>1683</v>
      </c>
      <c r="M131" s="32">
        <v>14</v>
      </c>
      <c r="N131" s="33">
        <f t="shared" si="8"/>
        <v>5.9840077204108361E-2</v>
      </c>
    </row>
    <row r="132" spans="1:34" ht="17.100000000000001" customHeight="1" x14ac:dyDescent="0.3">
      <c r="A132" s="42" t="s">
        <v>448</v>
      </c>
      <c r="B132" s="17" t="s">
        <v>11</v>
      </c>
      <c r="C132" s="17" t="s">
        <v>449</v>
      </c>
      <c r="D132" s="43">
        <v>29.399999618530298</v>
      </c>
      <c r="E132" s="43">
        <v>24</v>
      </c>
      <c r="F132" s="17">
        <v>2015</v>
      </c>
      <c r="G132" s="36">
        <v>25.399999618530298</v>
      </c>
      <c r="H132" s="28">
        <f t="shared" si="6"/>
        <v>86.394557646596468</v>
      </c>
      <c r="I132" s="30">
        <f t="shared" si="7"/>
        <v>81.632654120421236</v>
      </c>
      <c r="J132" s="31">
        <v>1365</v>
      </c>
      <c r="K132" s="40">
        <v>701</v>
      </c>
      <c r="L132" s="40">
        <v>1080</v>
      </c>
      <c r="M132" s="41">
        <v>12.4</v>
      </c>
      <c r="N132" s="33">
        <f t="shared" si="8"/>
        <v>5.9804142212762812E-2</v>
      </c>
      <c r="O132" s="9"/>
      <c r="Q132" s="4"/>
      <c r="S132" s="8"/>
      <c r="T132" s="8"/>
      <c r="U132" s="8"/>
      <c r="V132" s="4"/>
      <c r="W132" s="8"/>
      <c r="X132" s="8"/>
      <c r="Y132" s="8"/>
      <c r="Z132" s="8"/>
      <c r="AA132" s="8"/>
      <c r="AB132" s="4"/>
      <c r="AC132" s="8"/>
      <c r="AD132" s="8"/>
      <c r="AE132" s="8"/>
      <c r="AF132" s="8"/>
      <c r="AG132" s="8"/>
      <c r="AH132" s="4"/>
    </row>
    <row r="133" spans="1:34" ht="17.100000000000001" customHeight="1" x14ac:dyDescent="0.3">
      <c r="A133" s="27" t="s">
        <v>749</v>
      </c>
      <c r="B133" s="27" t="s">
        <v>128</v>
      </c>
      <c r="C133" s="26" t="s">
        <v>750</v>
      </c>
      <c r="D133" s="29">
        <v>10.4</v>
      </c>
      <c r="E133" s="29">
        <v>10.135</v>
      </c>
      <c r="F133" s="27">
        <v>2016</v>
      </c>
      <c r="G133" s="29">
        <v>6.9786000000000001</v>
      </c>
      <c r="H133" s="28">
        <f t="shared" si="6"/>
        <v>67.101923076923072</v>
      </c>
      <c r="I133" s="30">
        <f t="shared" si="7"/>
        <v>97.45192307692308</v>
      </c>
      <c r="J133" s="31">
        <v>1632</v>
      </c>
      <c r="K133" s="31">
        <v>638</v>
      </c>
      <c r="L133" s="31">
        <v>1679</v>
      </c>
      <c r="M133" s="32">
        <v>14.8</v>
      </c>
      <c r="N133" s="33">
        <f t="shared" si="8"/>
        <v>5.9713188159879339E-2</v>
      </c>
    </row>
    <row r="134" spans="1:34" ht="17.100000000000001" customHeight="1" x14ac:dyDescent="0.3">
      <c r="A134" s="27" t="s">
        <v>737</v>
      </c>
      <c r="B134" s="27" t="s">
        <v>128</v>
      </c>
      <c r="C134" s="26" t="s">
        <v>738</v>
      </c>
      <c r="D134" s="29">
        <v>9.1</v>
      </c>
      <c r="E134" s="29">
        <v>8.843</v>
      </c>
      <c r="F134" s="27">
        <v>2015</v>
      </c>
      <c r="G134" s="29">
        <v>6.1688000000000001</v>
      </c>
      <c r="H134" s="28">
        <f t="shared" si="6"/>
        <v>67.78901098901099</v>
      </c>
      <c r="I134" s="30">
        <f t="shared" si="7"/>
        <v>97.175824175824175</v>
      </c>
      <c r="J134" s="31">
        <v>1629</v>
      </c>
      <c r="K134" s="31">
        <v>635</v>
      </c>
      <c r="L134" s="31">
        <v>1682</v>
      </c>
      <c r="M134" s="32">
        <v>14.5</v>
      </c>
      <c r="N134" s="33">
        <f t="shared" si="8"/>
        <v>5.9653667388474017E-2</v>
      </c>
    </row>
    <row r="135" spans="1:34" ht="17.100000000000001" customHeight="1" x14ac:dyDescent="0.3">
      <c r="A135" s="27" t="s">
        <v>691</v>
      </c>
      <c r="B135" s="27" t="s">
        <v>128</v>
      </c>
      <c r="C135" s="26" t="s">
        <v>692</v>
      </c>
      <c r="D135" s="29">
        <v>41</v>
      </c>
      <c r="E135" s="29">
        <v>41.656999999999996</v>
      </c>
      <c r="F135" s="27">
        <v>2016</v>
      </c>
      <c r="G135" s="29">
        <v>29</v>
      </c>
      <c r="H135" s="28">
        <f t="shared" si="6"/>
        <v>70.731707317073173</v>
      </c>
      <c r="I135" s="30">
        <f t="shared" si="7"/>
        <v>101.60243902439025</v>
      </c>
      <c r="J135" s="31">
        <v>1710</v>
      </c>
      <c r="K135" s="31">
        <v>668</v>
      </c>
      <c r="L135" s="31">
        <v>1713</v>
      </c>
      <c r="M135" s="32">
        <v>17.600000000000001</v>
      </c>
      <c r="N135" s="33">
        <f t="shared" si="8"/>
        <v>5.9416631008415349E-2</v>
      </c>
    </row>
    <row r="136" spans="1:34" ht="17.100000000000001" customHeight="1" x14ac:dyDescent="0.3">
      <c r="A136" s="34" t="s">
        <v>87</v>
      </c>
      <c r="B136" s="16" t="s">
        <v>14</v>
      </c>
      <c r="C136" s="16" t="s">
        <v>88</v>
      </c>
      <c r="D136" s="35">
        <v>13.6</v>
      </c>
      <c r="E136" s="35">
        <v>13.6</v>
      </c>
      <c r="F136" s="16">
        <v>2014</v>
      </c>
      <c r="G136" s="36">
        <v>10.27</v>
      </c>
      <c r="H136" s="28">
        <f t="shared" si="6"/>
        <v>75.514705882352942</v>
      </c>
      <c r="I136" s="30">
        <f t="shared" si="7"/>
        <v>100</v>
      </c>
      <c r="J136" s="44">
        <v>1690</v>
      </c>
      <c r="K136" s="30">
        <v>970</v>
      </c>
      <c r="L136" s="30">
        <v>917</v>
      </c>
      <c r="M136" s="32">
        <v>25.1</v>
      </c>
      <c r="N136" s="33">
        <f t="shared" si="8"/>
        <v>5.9171597633136092E-2</v>
      </c>
    </row>
    <row r="137" spans="1:34" ht="17.100000000000001" customHeight="1" x14ac:dyDescent="0.3">
      <c r="A137" s="34" t="s">
        <v>89</v>
      </c>
      <c r="B137" s="16" t="s">
        <v>15</v>
      </c>
      <c r="C137" s="16" t="s">
        <v>90</v>
      </c>
      <c r="D137" s="35">
        <v>408</v>
      </c>
      <c r="E137" s="35">
        <v>539.03399999999999</v>
      </c>
      <c r="F137" s="16">
        <v>2018</v>
      </c>
      <c r="G137" s="36">
        <v>238</v>
      </c>
      <c r="H137" s="28">
        <f t="shared" si="6"/>
        <v>58.333333333333336</v>
      </c>
      <c r="I137" s="30">
        <f t="shared" si="7"/>
        <v>132.11617647058824</v>
      </c>
      <c r="J137" s="44">
        <v>2238</v>
      </c>
      <c r="K137" s="30">
        <v>659</v>
      </c>
      <c r="L137" s="30">
        <v>2404</v>
      </c>
      <c r="M137" s="32">
        <v>15.9</v>
      </c>
      <c r="N137" s="33">
        <f t="shared" si="8"/>
        <v>5.9033144088734696E-2</v>
      </c>
    </row>
    <row r="138" spans="1:34" ht="17.100000000000001" customHeight="1" x14ac:dyDescent="0.3">
      <c r="A138" s="27" t="s">
        <v>763</v>
      </c>
      <c r="B138" s="27" t="s">
        <v>128</v>
      </c>
      <c r="C138" s="26" t="s">
        <v>764</v>
      </c>
      <c r="D138" s="29">
        <v>9.8000000000000007</v>
      </c>
      <c r="E138" s="29">
        <v>9.5500000000000007</v>
      </c>
      <c r="F138" s="27">
        <v>2016</v>
      </c>
      <c r="G138" s="29">
        <v>6.5</v>
      </c>
      <c r="H138" s="28">
        <f t="shared" si="6"/>
        <v>66.326530612244895</v>
      </c>
      <c r="I138" s="30">
        <f t="shared" si="7"/>
        <v>97.448979591836732</v>
      </c>
      <c r="J138" s="31">
        <v>1652</v>
      </c>
      <c r="K138" s="31">
        <v>639</v>
      </c>
      <c r="L138" s="31">
        <v>1706</v>
      </c>
      <c r="M138" s="32">
        <v>15.1</v>
      </c>
      <c r="N138" s="33">
        <f t="shared" si="8"/>
        <v>5.8988486435736523E-2</v>
      </c>
    </row>
    <row r="139" spans="1:34" ht="17.100000000000001" customHeight="1" x14ac:dyDescent="0.3">
      <c r="A139" s="27" t="s">
        <v>739</v>
      </c>
      <c r="B139" s="27" t="s">
        <v>128</v>
      </c>
      <c r="C139" s="26" t="s">
        <v>740</v>
      </c>
      <c r="D139" s="29">
        <v>8.9</v>
      </c>
      <c r="E139" s="29">
        <v>8.5749999999999993</v>
      </c>
      <c r="F139" s="27">
        <v>2015</v>
      </c>
      <c r="G139" s="29">
        <v>6.0288000000000004</v>
      </c>
      <c r="H139" s="28">
        <f t="shared" si="6"/>
        <v>67.73932584269663</v>
      </c>
      <c r="I139" s="30">
        <f t="shared" si="7"/>
        <v>96.348314606741567</v>
      </c>
      <c r="J139" s="31">
        <v>1634</v>
      </c>
      <c r="K139" s="31">
        <v>651</v>
      </c>
      <c r="L139" s="31">
        <v>1657</v>
      </c>
      <c r="M139" s="32">
        <v>15.8</v>
      </c>
      <c r="N139" s="33">
        <f t="shared" si="8"/>
        <v>5.8964696821751268E-2</v>
      </c>
      <c r="O139" s="9"/>
      <c r="Q139" s="4"/>
      <c r="S139" s="8"/>
      <c r="T139" s="8"/>
      <c r="U139" s="8"/>
      <c r="V139" s="4"/>
      <c r="W139" s="8"/>
      <c r="X139" s="8"/>
      <c r="Y139" s="8"/>
      <c r="Z139" s="8"/>
      <c r="AA139" s="8"/>
      <c r="AB139" s="4"/>
      <c r="AC139" s="8"/>
      <c r="AD139" s="8"/>
      <c r="AE139" s="8"/>
      <c r="AF139" s="8"/>
      <c r="AG139" s="8"/>
      <c r="AH139" s="4"/>
    </row>
    <row r="140" spans="1:34" ht="17.100000000000001" customHeight="1" x14ac:dyDescent="0.3">
      <c r="A140" s="27" t="s">
        <v>765</v>
      </c>
      <c r="B140" s="27" t="s">
        <v>128</v>
      </c>
      <c r="C140" s="26" t="s">
        <v>766</v>
      </c>
      <c r="D140" s="29">
        <v>9.8000000000000007</v>
      </c>
      <c r="E140" s="29">
        <v>9.5640000000000001</v>
      </c>
      <c r="F140" s="27">
        <v>2015</v>
      </c>
      <c r="G140" s="29">
        <v>6.5</v>
      </c>
      <c r="H140" s="28">
        <f t="shared" si="6"/>
        <v>66.326530612244895</v>
      </c>
      <c r="I140" s="30">
        <f t="shared" si="7"/>
        <v>97.591836734693871</v>
      </c>
      <c r="J140" s="31">
        <v>1656</v>
      </c>
      <c r="K140" s="31">
        <v>645</v>
      </c>
      <c r="L140" s="31">
        <v>1696</v>
      </c>
      <c r="M140" s="32">
        <v>15.5</v>
      </c>
      <c r="N140" s="33">
        <f t="shared" si="8"/>
        <v>5.8932268559597746E-2</v>
      </c>
    </row>
    <row r="141" spans="1:34" ht="17.100000000000001" customHeight="1" x14ac:dyDescent="0.3">
      <c r="A141" s="27" t="s">
        <v>711</v>
      </c>
      <c r="B141" s="27" t="s">
        <v>128</v>
      </c>
      <c r="C141" s="26" t="s">
        <v>712</v>
      </c>
      <c r="D141" s="29">
        <v>10.1</v>
      </c>
      <c r="E141" s="29">
        <v>9.8219999999999992</v>
      </c>
      <c r="F141" s="27">
        <v>2015</v>
      </c>
      <c r="G141" s="29">
        <v>7.0083000000000002</v>
      </c>
      <c r="H141" s="28">
        <f t="shared" si="6"/>
        <v>69.389108910891096</v>
      </c>
      <c r="I141" s="30">
        <f t="shared" si="7"/>
        <v>97.247524752475243</v>
      </c>
      <c r="J141" s="31">
        <v>1653</v>
      </c>
      <c r="K141" s="31">
        <v>646</v>
      </c>
      <c r="L141" s="31">
        <v>1690</v>
      </c>
      <c r="M141" s="32">
        <v>15.5</v>
      </c>
      <c r="N141" s="33">
        <f t="shared" si="8"/>
        <v>5.8830928464897306E-2</v>
      </c>
      <c r="Y141" s="12"/>
    </row>
    <row r="142" spans="1:34" ht="17.100000000000001" customHeight="1" x14ac:dyDescent="0.3">
      <c r="A142" s="27" t="s">
        <v>725</v>
      </c>
      <c r="B142" s="27" t="s">
        <v>128</v>
      </c>
      <c r="C142" s="26" t="s">
        <v>726</v>
      </c>
      <c r="D142" s="29">
        <v>9.4</v>
      </c>
      <c r="E142" s="29">
        <v>9.1029999999999998</v>
      </c>
      <c r="F142" s="27">
        <v>2016</v>
      </c>
      <c r="G142" s="29">
        <v>6.4547999999999996</v>
      </c>
      <c r="H142" s="28">
        <f t="shared" si="6"/>
        <v>68.668085106382975</v>
      </c>
      <c r="I142" s="30">
        <f t="shared" si="7"/>
        <v>96.840425531914889</v>
      </c>
      <c r="J142" s="31">
        <v>1647</v>
      </c>
      <c r="K142" s="31">
        <v>648</v>
      </c>
      <c r="L142" s="31">
        <v>1677</v>
      </c>
      <c r="M142" s="32">
        <v>15.5</v>
      </c>
      <c r="N142" s="33">
        <f t="shared" si="8"/>
        <v>5.879807257554031E-2</v>
      </c>
    </row>
    <row r="143" spans="1:34" ht="17.100000000000001" customHeight="1" x14ac:dyDescent="0.3">
      <c r="A143" s="27" t="s">
        <v>723</v>
      </c>
      <c r="B143" s="27" t="s">
        <v>128</v>
      </c>
      <c r="C143" s="26" t="s">
        <v>724</v>
      </c>
      <c r="D143" s="29">
        <v>8.6999999999999993</v>
      </c>
      <c r="E143" s="29">
        <v>7.2</v>
      </c>
      <c r="F143" s="27">
        <v>2017</v>
      </c>
      <c r="G143" s="29">
        <v>5.99</v>
      </c>
      <c r="H143" s="28">
        <f t="shared" si="6"/>
        <v>68.850574712643677</v>
      </c>
      <c r="I143" s="30">
        <f t="shared" si="7"/>
        <v>82.758620689655174</v>
      </c>
      <c r="J143" s="31">
        <v>1408</v>
      </c>
      <c r="K143" s="31">
        <v>579</v>
      </c>
      <c r="L143" s="31">
        <v>1482</v>
      </c>
      <c r="M143" s="32">
        <v>8.3000000000000007</v>
      </c>
      <c r="N143" s="33">
        <f t="shared" si="8"/>
        <v>5.8777429467084641E-2</v>
      </c>
    </row>
    <row r="144" spans="1:34" ht="17.100000000000001" customHeight="1" x14ac:dyDescent="0.3">
      <c r="A144" s="42" t="s">
        <v>485</v>
      </c>
      <c r="B144" s="17" t="s">
        <v>6</v>
      </c>
      <c r="C144" s="17" t="s">
        <v>486</v>
      </c>
      <c r="D144" s="43">
        <v>14.1000003814697</v>
      </c>
      <c r="E144" s="43">
        <v>10.300000190734901</v>
      </c>
      <c r="F144" s="17">
        <v>2014</v>
      </c>
      <c r="G144" s="36">
        <v>8.6999998092651403</v>
      </c>
      <c r="H144" s="28">
        <f t="shared" si="6"/>
        <v>61.702124637519368</v>
      </c>
      <c r="I144" s="30">
        <f t="shared" si="7"/>
        <v>73.049644766472625</v>
      </c>
      <c r="J144" s="31">
        <v>1245</v>
      </c>
      <c r="K144" s="40">
        <v>605</v>
      </c>
      <c r="L144" s="40">
        <v>1167</v>
      </c>
      <c r="M144" s="41">
        <v>12</v>
      </c>
      <c r="N144" s="33">
        <f t="shared" si="8"/>
        <v>5.8674413467046285E-2</v>
      </c>
    </row>
    <row r="145" spans="1:14" ht="17.100000000000001" customHeight="1" x14ac:dyDescent="0.3">
      <c r="A145" s="27" t="s">
        <v>773</v>
      </c>
      <c r="B145" s="27" t="s">
        <v>128</v>
      </c>
      <c r="C145" s="26" t="s">
        <v>774</v>
      </c>
      <c r="D145" s="29">
        <v>9.8000000000000007</v>
      </c>
      <c r="E145" s="29">
        <v>9.3529999999999998</v>
      </c>
      <c r="F145" s="27">
        <v>2015</v>
      </c>
      <c r="G145" s="29">
        <v>6.4638</v>
      </c>
      <c r="H145" s="28">
        <f t="shared" si="6"/>
        <v>65.957142857142856</v>
      </c>
      <c r="I145" s="30">
        <f t="shared" si="7"/>
        <v>95.438775510204081</v>
      </c>
      <c r="J145" s="31">
        <v>1629</v>
      </c>
      <c r="K145" s="31">
        <v>634</v>
      </c>
      <c r="L145" s="31">
        <v>1684</v>
      </c>
      <c r="M145" s="32">
        <v>14.3</v>
      </c>
      <c r="N145" s="33">
        <f t="shared" si="8"/>
        <v>5.8587339171395997E-2</v>
      </c>
    </row>
    <row r="146" spans="1:14" ht="17.100000000000001" customHeight="1" x14ac:dyDescent="0.3">
      <c r="A146" s="34" t="s">
        <v>30</v>
      </c>
      <c r="B146" s="16" t="s">
        <v>31</v>
      </c>
      <c r="C146" s="16" t="s">
        <v>91</v>
      </c>
      <c r="D146" s="35">
        <v>1300</v>
      </c>
      <c r="E146" s="35">
        <v>1664</v>
      </c>
      <c r="F146" s="16">
        <v>2015</v>
      </c>
      <c r="G146" s="36">
        <v>579</v>
      </c>
      <c r="H146" s="28">
        <f t="shared" si="6"/>
        <v>44.53846153846154</v>
      </c>
      <c r="I146" s="30">
        <f t="shared" si="7"/>
        <v>128</v>
      </c>
      <c r="J146" s="38">
        <v>2185</v>
      </c>
      <c r="K146" s="30">
        <v>416</v>
      </c>
      <c r="L146" s="30">
        <v>2981</v>
      </c>
      <c r="M146" s="32">
        <v>16</v>
      </c>
      <c r="N146" s="33">
        <f t="shared" si="8"/>
        <v>5.8581235697940506E-2</v>
      </c>
    </row>
    <row r="147" spans="1:14" ht="17.100000000000001" customHeight="1" x14ac:dyDescent="0.3">
      <c r="A147" s="27" t="s">
        <v>717</v>
      </c>
      <c r="B147" s="27" t="s">
        <v>128</v>
      </c>
      <c r="C147" s="26" t="s">
        <v>718</v>
      </c>
      <c r="D147" s="29">
        <v>10.199999999999999</v>
      </c>
      <c r="E147" s="29">
        <v>9.66</v>
      </c>
      <c r="F147" s="27">
        <v>2015</v>
      </c>
      <c r="G147" s="29">
        <v>7.0384000000000002</v>
      </c>
      <c r="H147" s="28">
        <f t="shared" si="6"/>
        <v>69.003921568627447</v>
      </c>
      <c r="I147" s="30">
        <f t="shared" si="7"/>
        <v>94.705882352941174</v>
      </c>
      <c r="J147" s="31">
        <v>1618</v>
      </c>
      <c r="K147" s="31">
        <v>641</v>
      </c>
      <c r="L147" s="31">
        <v>1657</v>
      </c>
      <c r="M147" s="32">
        <v>14.8</v>
      </c>
      <c r="N147" s="33">
        <f t="shared" si="8"/>
        <v>5.8532683778084779E-2</v>
      </c>
    </row>
    <row r="148" spans="1:14" ht="17.100000000000001" customHeight="1" x14ac:dyDescent="0.3">
      <c r="A148" s="27" t="s">
        <v>785</v>
      </c>
      <c r="B148" s="27" t="s">
        <v>128</v>
      </c>
      <c r="C148" s="26" t="s">
        <v>786</v>
      </c>
      <c r="D148" s="29">
        <v>9.8000000000000007</v>
      </c>
      <c r="E148" s="29">
        <v>9.5986659999999997</v>
      </c>
      <c r="F148" s="27">
        <v>2014</v>
      </c>
      <c r="G148" s="29">
        <v>6.4</v>
      </c>
      <c r="H148" s="28">
        <f t="shared" si="6"/>
        <v>65.306122448979593</v>
      </c>
      <c r="I148" s="30">
        <f t="shared" si="7"/>
        <v>97.945571428571427</v>
      </c>
      <c r="J148" s="31">
        <v>1675</v>
      </c>
      <c r="K148" s="31">
        <v>657</v>
      </c>
      <c r="L148" s="31">
        <v>1695</v>
      </c>
      <c r="M148" s="32">
        <v>16.100000000000001</v>
      </c>
      <c r="N148" s="33">
        <f t="shared" si="8"/>
        <v>5.8474968017057566E-2</v>
      </c>
    </row>
    <row r="149" spans="1:14" ht="17.100000000000001" customHeight="1" x14ac:dyDescent="0.3">
      <c r="A149" s="34" t="s">
        <v>92</v>
      </c>
      <c r="B149" s="16" t="s">
        <v>22</v>
      </c>
      <c r="C149" s="16" t="s">
        <v>93</v>
      </c>
      <c r="D149" s="35">
        <v>79.2</v>
      </c>
      <c r="E149" s="35">
        <v>45</v>
      </c>
      <c r="F149" s="16">
        <v>2016</v>
      </c>
      <c r="G149" s="36">
        <v>72</v>
      </c>
      <c r="H149" s="28">
        <f t="shared" si="6"/>
        <v>90.909090909090907</v>
      </c>
      <c r="I149" s="30">
        <f t="shared" si="7"/>
        <v>56.81818181818182</v>
      </c>
      <c r="J149" s="44">
        <v>974</v>
      </c>
      <c r="K149" s="30">
        <v>563</v>
      </c>
      <c r="L149" s="30">
        <v>801</v>
      </c>
      <c r="M149" s="32">
        <v>9.8000000000000007</v>
      </c>
      <c r="N149" s="33">
        <f t="shared" si="8"/>
        <v>5.8334888930371476E-2</v>
      </c>
    </row>
    <row r="150" spans="1:14" ht="17.100000000000001" customHeight="1" x14ac:dyDescent="0.3">
      <c r="A150" s="27" t="s">
        <v>745</v>
      </c>
      <c r="B150" s="27" t="s">
        <v>128</v>
      </c>
      <c r="C150" s="26" t="s">
        <v>746</v>
      </c>
      <c r="D150" s="29">
        <v>9.6999999999999993</v>
      </c>
      <c r="E150" s="29">
        <v>9.3149999999999995</v>
      </c>
      <c r="F150" s="27">
        <v>2016</v>
      </c>
      <c r="G150" s="29">
        <v>6.5484</v>
      </c>
      <c r="H150" s="28">
        <f t="shared" si="6"/>
        <v>67.509278350515459</v>
      </c>
      <c r="I150" s="30">
        <f t="shared" si="7"/>
        <v>96.030927835051543</v>
      </c>
      <c r="J150" s="31">
        <v>1651</v>
      </c>
      <c r="K150" s="31">
        <v>648</v>
      </c>
      <c r="L150" s="31">
        <v>1685</v>
      </c>
      <c r="M150" s="32">
        <v>15.4</v>
      </c>
      <c r="N150" s="33">
        <f t="shared" si="8"/>
        <v>5.8165310620867078E-2</v>
      </c>
    </row>
    <row r="151" spans="1:14" ht="17.100000000000001" customHeight="1" x14ac:dyDescent="0.3">
      <c r="A151" s="27" t="s">
        <v>829</v>
      </c>
      <c r="B151" s="27" t="s">
        <v>128</v>
      </c>
      <c r="C151" s="26" t="s">
        <v>830</v>
      </c>
      <c r="D151" s="29">
        <v>6.6</v>
      </c>
      <c r="E151" s="29">
        <v>5.5986669999999998</v>
      </c>
      <c r="F151" s="27">
        <v>2014</v>
      </c>
      <c r="G151" s="29">
        <v>4.0999999999999996</v>
      </c>
      <c r="H151" s="28">
        <f t="shared" si="6"/>
        <v>62.121212121212118</v>
      </c>
      <c r="I151" s="30">
        <f t="shared" si="7"/>
        <v>84.828287878787876</v>
      </c>
      <c r="J151" s="31">
        <v>1459</v>
      </c>
      <c r="K151" s="31">
        <v>580</v>
      </c>
      <c r="L151" s="31">
        <v>1558</v>
      </c>
      <c r="M151" s="32">
        <v>10.199999999999999</v>
      </c>
      <c r="N151" s="33">
        <f t="shared" si="8"/>
        <v>5.8141389910067086E-2</v>
      </c>
    </row>
    <row r="152" spans="1:14" ht="17.100000000000001" customHeight="1" x14ac:dyDescent="0.3">
      <c r="A152" s="27" t="s">
        <v>853</v>
      </c>
      <c r="B152" s="27" t="s">
        <v>11</v>
      </c>
      <c r="C152" s="26" t="s">
        <v>476</v>
      </c>
      <c r="D152" s="29">
        <v>14.8</v>
      </c>
      <c r="E152" s="29">
        <v>11.091480000000001</v>
      </c>
      <c r="F152" s="27">
        <v>2016</v>
      </c>
      <c r="G152" s="29">
        <v>9</v>
      </c>
      <c r="H152" s="28">
        <f t="shared" si="6"/>
        <v>60.810810810810814</v>
      </c>
      <c r="I152" s="30">
        <f t="shared" si="7"/>
        <v>74.942432432432426</v>
      </c>
      <c r="J152" s="31">
        <v>1290</v>
      </c>
      <c r="K152" s="31">
        <v>652</v>
      </c>
      <c r="L152" s="31">
        <v>1102</v>
      </c>
      <c r="M152" s="32">
        <v>6.9</v>
      </c>
      <c r="N152" s="33">
        <f t="shared" si="8"/>
        <v>5.8094908862350719E-2</v>
      </c>
    </row>
    <row r="153" spans="1:14" ht="17.100000000000001" customHeight="1" x14ac:dyDescent="0.3">
      <c r="A153" s="27" t="s">
        <v>755</v>
      </c>
      <c r="B153" s="27" t="s">
        <v>128</v>
      </c>
      <c r="C153" s="26" t="s">
        <v>756</v>
      </c>
      <c r="D153" s="29">
        <v>10.5</v>
      </c>
      <c r="E153" s="29">
        <v>10.051</v>
      </c>
      <c r="F153" s="27">
        <v>2015</v>
      </c>
      <c r="G153" s="29">
        <v>7.0035999999999996</v>
      </c>
      <c r="H153" s="28">
        <f t="shared" si="6"/>
        <v>66.700952380952387</v>
      </c>
      <c r="I153" s="30">
        <f t="shared" si="7"/>
        <v>95.723809523809521</v>
      </c>
      <c r="J153" s="31">
        <v>1652</v>
      </c>
      <c r="K153" s="31">
        <v>653</v>
      </c>
      <c r="L153" s="31">
        <v>1673</v>
      </c>
      <c r="M153" s="32">
        <v>16.100000000000001</v>
      </c>
      <c r="N153" s="33">
        <f t="shared" si="8"/>
        <v>5.7944194627003343E-2</v>
      </c>
    </row>
    <row r="154" spans="1:14" ht="17.100000000000001" customHeight="1" x14ac:dyDescent="0.3">
      <c r="A154" s="42" t="s">
        <v>288</v>
      </c>
      <c r="B154" s="17" t="s">
        <v>128</v>
      </c>
      <c r="C154" s="17" t="s">
        <v>289</v>
      </c>
      <c r="D154" s="43">
        <v>9.8999996185302699</v>
      </c>
      <c r="E154" s="43">
        <v>9.6000003814697301</v>
      </c>
      <c r="F154" s="17">
        <v>2014</v>
      </c>
      <c r="G154" s="36">
        <v>6.4000000953674299</v>
      </c>
      <c r="H154" s="28">
        <f t="shared" si="6"/>
        <v>64.646468100748862</v>
      </c>
      <c r="I154" s="30">
        <f t="shared" si="7"/>
        <v>96.969704559391914</v>
      </c>
      <c r="J154" s="31">
        <v>1675</v>
      </c>
      <c r="K154" s="40">
        <v>659</v>
      </c>
      <c r="L154" s="40">
        <v>1694</v>
      </c>
      <c r="M154" s="41">
        <v>16.2</v>
      </c>
      <c r="N154" s="33">
        <f t="shared" si="8"/>
        <v>5.7892360930980248E-2</v>
      </c>
    </row>
    <row r="155" spans="1:14" ht="17.100000000000001" customHeight="1" x14ac:dyDescent="0.3">
      <c r="A155" s="42" t="s">
        <v>410</v>
      </c>
      <c r="B155" s="17" t="s">
        <v>6</v>
      </c>
      <c r="C155" s="17" t="s">
        <v>411</v>
      </c>
      <c r="D155" s="43">
        <v>11.699999809265099</v>
      </c>
      <c r="E155" s="43">
        <v>9.8000001907348597</v>
      </c>
      <c r="F155" s="17">
        <v>2014</v>
      </c>
      <c r="G155" s="36">
        <v>6.8000001907348597</v>
      </c>
      <c r="H155" s="28">
        <f t="shared" si="6"/>
        <v>58.119660697344763</v>
      </c>
      <c r="I155" s="30">
        <f t="shared" si="7"/>
        <v>83.760686756373701</v>
      </c>
      <c r="J155" s="31">
        <v>1448</v>
      </c>
      <c r="K155" s="30">
        <v>599</v>
      </c>
      <c r="L155" s="30">
        <v>1488</v>
      </c>
      <c r="M155" s="41">
        <v>13</v>
      </c>
      <c r="N155" s="33">
        <f t="shared" si="8"/>
        <v>5.7845778146666922E-2</v>
      </c>
    </row>
    <row r="156" spans="1:14" ht="17.100000000000001" customHeight="1" x14ac:dyDescent="0.3">
      <c r="A156" s="27" t="s">
        <v>1219</v>
      </c>
      <c r="B156" s="27" t="s">
        <v>128</v>
      </c>
      <c r="C156" s="26" t="s">
        <v>1220</v>
      </c>
      <c r="D156" s="29">
        <v>9.1</v>
      </c>
      <c r="E156" s="29">
        <v>8.6724999999999994</v>
      </c>
      <c r="F156" s="27">
        <v>2016</v>
      </c>
      <c r="G156" s="29">
        <v>3.6</v>
      </c>
      <c r="H156" s="28">
        <f t="shared" si="6"/>
        <v>39.560439560439562</v>
      </c>
      <c r="I156" s="30">
        <f t="shared" si="7"/>
        <v>95.302197802197796</v>
      </c>
      <c r="J156" s="31">
        <v>1648</v>
      </c>
      <c r="K156" s="31">
        <v>649</v>
      </c>
      <c r="L156" s="31">
        <v>1677</v>
      </c>
      <c r="M156" s="32">
        <v>15.5</v>
      </c>
      <c r="N156" s="33">
        <f t="shared" si="8"/>
        <v>5.7829003520751092E-2</v>
      </c>
    </row>
    <row r="157" spans="1:14" ht="17.100000000000001" customHeight="1" x14ac:dyDescent="0.3">
      <c r="A157" s="27" t="s">
        <v>420</v>
      </c>
      <c r="B157" s="27" t="s">
        <v>11</v>
      </c>
      <c r="C157" s="26" t="s">
        <v>421</v>
      </c>
      <c r="D157" s="29">
        <v>15.5</v>
      </c>
      <c r="E157" s="29">
        <v>12.7</v>
      </c>
      <c r="F157" s="27">
        <v>2015</v>
      </c>
      <c r="G157" s="29">
        <v>13</v>
      </c>
      <c r="H157" s="28">
        <f t="shared" si="6"/>
        <v>83.870967741935488</v>
      </c>
      <c r="I157" s="30">
        <f t="shared" si="7"/>
        <v>81.935483870967744</v>
      </c>
      <c r="J157" s="31">
        <v>1417</v>
      </c>
      <c r="K157" s="31">
        <v>683</v>
      </c>
      <c r="L157" s="31">
        <v>1230</v>
      </c>
      <c r="M157" s="31">
        <v>13.8</v>
      </c>
      <c r="N157" s="33">
        <f t="shared" si="8"/>
        <v>5.7823206683816332E-2</v>
      </c>
    </row>
    <row r="158" spans="1:14" ht="17.100000000000001" customHeight="1" x14ac:dyDescent="0.3">
      <c r="A158" s="42" t="s">
        <v>392</v>
      </c>
      <c r="B158" s="17" t="s">
        <v>128</v>
      </c>
      <c r="C158" s="17" t="s">
        <v>393</v>
      </c>
      <c r="D158" s="43">
        <v>15.199999809265099</v>
      </c>
      <c r="E158" s="43">
        <v>12.8999996185303</v>
      </c>
      <c r="F158" s="17">
        <v>2014</v>
      </c>
      <c r="G158" s="36">
        <v>9.9499998092651403</v>
      </c>
      <c r="H158" s="28">
        <f t="shared" si="6"/>
        <v>65.460525882376373</v>
      </c>
      <c r="I158" s="30">
        <f t="shared" si="7"/>
        <v>84.868419607921027</v>
      </c>
      <c r="J158" s="31">
        <v>1470</v>
      </c>
      <c r="K158" s="30">
        <v>615</v>
      </c>
      <c r="L158" s="30">
        <v>1496</v>
      </c>
      <c r="M158" s="41">
        <v>10.9</v>
      </c>
      <c r="N158" s="33">
        <f t="shared" si="8"/>
        <v>5.7733618780898659E-2</v>
      </c>
    </row>
    <row r="159" spans="1:14" ht="17.100000000000001" customHeight="1" x14ac:dyDescent="0.3">
      <c r="A159" s="27" t="s">
        <v>904</v>
      </c>
      <c r="B159" s="27" t="s">
        <v>128</v>
      </c>
      <c r="C159" s="26" t="s">
        <v>905</v>
      </c>
      <c r="D159" s="29">
        <v>46.9</v>
      </c>
      <c r="E159" s="29">
        <v>53.823</v>
      </c>
      <c r="F159" s="27">
        <v>2016</v>
      </c>
      <c r="G159" s="29">
        <v>27</v>
      </c>
      <c r="H159" s="28">
        <f t="shared" si="6"/>
        <v>57.569296375266525</v>
      </c>
      <c r="I159" s="30">
        <f t="shared" si="7"/>
        <v>114.76119402985074</v>
      </c>
      <c r="J159" s="31">
        <v>1988</v>
      </c>
      <c r="K159" s="31">
        <v>476</v>
      </c>
      <c r="L159" s="31">
        <v>2503</v>
      </c>
      <c r="M159" s="32">
        <v>18.7</v>
      </c>
      <c r="N159" s="33">
        <f t="shared" si="8"/>
        <v>5.7726958767530555E-2</v>
      </c>
    </row>
    <row r="160" spans="1:14" ht="17.100000000000001" customHeight="1" x14ac:dyDescent="0.3">
      <c r="A160" s="27" t="s">
        <v>823</v>
      </c>
      <c r="B160" s="27" t="s">
        <v>11</v>
      </c>
      <c r="C160" s="26" t="s">
        <v>824</v>
      </c>
      <c r="D160" s="29">
        <v>44.8</v>
      </c>
      <c r="E160" s="29">
        <v>33</v>
      </c>
      <c r="F160" s="27">
        <v>2018</v>
      </c>
      <c r="G160" s="29">
        <v>28</v>
      </c>
      <c r="H160" s="28">
        <f t="shared" si="6"/>
        <v>62.5</v>
      </c>
      <c r="I160" s="30">
        <f t="shared" si="7"/>
        <v>73.660714285714292</v>
      </c>
      <c r="J160" s="31">
        <v>1278</v>
      </c>
      <c r="K160" s="31">
        <v>692</v>
      </c>
      <c r="L160" s="31">
        <v>999</v>
      </c>
      <c r="M160" s="32">
        <v>11.2</v>
      </c>
      <c r="N160" s="33">
        <f t="shared" si="8"/>
        <v>5.7637491616364861E-2</v>
      </c>
    </row>
    <row r="161" spans="1:34" ht="17.100000000000001" customHeight="1" x14ac:dyDescent="0.3">
      <c r="A161" s="27" t="s">
        <v>1000</v>
      </c>
      <c r="B161" s="27" t="s">
        <v>22</v>
      </c>
      <c r="C161" s="26" t="s">
        <v>1001</v>
      </c>
      <c r="D161" s="29">
        <v>8.6</v>
      </c>
      <c r="E161" s="29">
        <v>5.5</v>
      </c>
      <c r="F161" s="27">
        <v>2014</v>
      </c>
      <c r="G161" s="29">
        <v>4.51</v>
      </c>
      <c r="H161" s="28">
        <f t="shared" si="6"/>
        <v>52.441860465116278</v>
      </c>
      <c r="I161" s="30">
        <f t="shared" si="7"/>
        <v>63.953488372093027</v>
      </c>
      <c r="J161" s="31">
        <v>1113</v>
      </c>
      <c r="K161" s="31">
        <v>595</v>
      </c>
      <c r="L161" s="31">
        <v>946</v>
      </c>
      <c r="M161" s="32">
        <v>11.7</v>
      </c>
      <c r="N161" s="33">
        <f t="shared" si="8"/>
        <v>5.7460456758394451E-2</v>
      </c>
    </row>
    <row r="162" spans="1:34" ht="17.100000000000001" customHeight="1" x14ac:dyDescent="0.3">
      <c r="A162" s="27" t="s">
        <v>667</v>
      </c>
      <c r="B162" s="27" t="s">
        <v>11</v>
      </c>
      <c r="C162" s="26" t="s">
        <v>668</v>
      </c>
      <c r="D162" s="29">
        <v>64.3</v>
      </c>
      <c r="E162" s="29">
        <v>57</v>
      </c>
      <c r="F162" s="27">
        <v>2018</v>
      </c>
      <c r="G162" s="29">
        <v>46.8</v>
      </c>
      <c r="H162" s="28">
        <f t="shared" si="6"/>
        <v>72.783825816485219</v>
      </c>
      <c r="I162" s="30">
        <f t="shared" si="7"/>
        <v>88.646967340590976</v>
      </c>
      <c r="J162" s="31">
        <v>1543</v>
      </c>
      <c r="K162" s="31">
        <v>664</v>
      </c>
      <c r="L162" s="31">
        <v>1489</v>
      </c>
      <c r="M162" s="32">
        <v>8.3000000000000007</v>
      </c>
      <c r="N162" s="33">
        <f t="shared" si="8"/>
        <v>5.745104817925533E-2</v>
      </c>
    </row>
    <row r="163" spans="1:34" ht="17.100000000000001" customHeight="1" x14ac:dyDescent="0.3">
      <c r="A163" s="27" t="s">
        <v>797</v>
      </c>
      <c r="B163" s="27" t="s">
        <v>128</v>
      </c>
      <c r="C163" s="26" t="s">
        <v>798</v>
      </c>
      <c r="D163" s="29">
        <v>10.199999999999999</v>
      </c>
      <c r="E163" s="29">
        <v>9.6969999999999992</v>
      </c>
      <c r="F163" s="27">
        <v>2016</v>
      </c>
      <c r="G163" s="29">
        <v>6.5</v>
      </c>
      <c r="H163" s="28">
        <f t="shared" si="6"/>
        <v>63.725490196078432</v>
      </c>
      <c r="I163" s="30">
        <f t="shared" si="7"/>
        <v>95.068627450980387</v>
      </c>
      <c r="J163" s="31">
        <v>1661</v>
      </c>
      <c r="K163" s="31">
        <v>654</v>
      </c>
      <c r="L163" s="31">
        <v>1680</v>
      </c>
      <c r="M163" s="32">
        <v>15.7</v>
      </c>
      <c r="N163" s="33">
        <f t="shared" si="8"/>
        <v>5.7235778116183252E-2</v>
      </c>
    </row>
    <row r="164" spans="1:34" ht="17.100000000000001" customHeight="1" x14ac:dyDescent="0.3">
      <c r="A164" s="27" t="s">
        <v>787</v>
      </c>
      <c r="B164" s="27" t="s">
        <v>128</v>
      </c>
      <c r="C164" s="26" t="s">
        <v>788</v>
      </c>
      <c r="D164" s="29">
        <v>14.1</v>
      </c>
      <c r="E164" s="29">
        <v>12.053000000000001</v>
      </c>
      <c r="F164" s="27">
        <v>2014</v>
      </c>
      <c r="G164" s="29">
        <v>9.1999999999999993</v>
      </c>
      <c r="H164" s="28">
        <f t="shared" si="6"/>
        <v>65.248226950354606</v>
      </c>
      <c r="I164" s="30">
        <f t="shared" si="7"/>
        <v>85.482269503546092</v>
      </c>
      <c r="J164" s="31">
        <v>1494</v>
      </c>
      <c r="K164" s="31">
        <v>622</v>
      </c>
      <c r="L164" s="31">
        <v>1519</v>
      </c>
      <c r="M164" s="32">
        <v>11.8</v>
      </c>
      <c r="N164" s="33">
        <f t="shared" si="8"/>
        <v>5.7217047860472617E-2</v>
      </c>
    </row>
    <row r="165" spans="1:34" ht="17.100000000000001" customHeight="1" x14ac:dyDescent="0.3">
      <c r="A165" s="27" t="s">
        <v>1153</v>
      </c>
      <c r="B165" s="27" t="s">
        <v>0</v>
      </c>
      <c r="C165" s="26" t="s">
        <v>1154</v>
      </c>
      <c r="D165" s="29">
        <v>115.3</v>
      </c>
      <c r="E165" s="29">
        <v>120</v>
      </c>
      <c r="F165" s="27">
        <v>2018</v>
      </c>
      <c r="G165" s="29">
        <v>50</v>
      </c>
      <c r="H165" s="28">
        <f t="shared" si="6"/>
        <v>43.365134431916736</v>
      </c>
      <c r="I165" s="30">
        <f t="shared" si="7"/>
        <v>104.07632263660017</v>
      </c>
      <c r="J165" s="31">
        <v>1819</v>
      </c>
      <c r="K165" s="31">
        <v>549</v>
      </c>
      <c r="L165" s="31">
        <v>2166</v>
      </c>
      <c r="M165" s="32">
        <v>15.5</v>
      </c>
      <c r="N165" s="33">
        <f t="shared" si="8"/>
        <v>5.7216230146564136E-2</v>
      </c>
    </row>
    <row r="166" spans="1:34" ht="17.100000000000001" customHeight="1" x14ac:dyDescent="0.3">
      <c r="A166" s="27" t="s">
        <v>819</v>
      </c>
      <c r="B166" s="27" t="s">
        <v>128</v>
      </c>
      <c r="C166" s="26" t="s">
        <v>820</v>
      </c>
      <c r="D166" s="29">
        <v>11</v>
      </c>
      <c r="E166" s="29">
        <v>10.321</v>
      </c>
      <c r="F166" s="27">
        <v>2015</v>
      </c>
      <c r="G166" s="29">
        <v>6.9</v>
      </c>
      <c r="H166" s="28">
        <f t="shared" si="6"/>
        <v>62.727272727272727</v>
      </c>
      <c r="I166" s="30">
        <f t="shared" si="7"/>
        <v>93.827272727272728</v>
      </c>
      <c r="J166" s="31">
        <v>1641</v>
      </c>
      <c r="K166" s="31">
        <v>646</v>
      </c>
      <c r="L166" s="31">
        <v>1672</v>
      </c>
      <c r="M166" s="32">
        <v>15.4</v>
      </c>
      <c r="N166" s="33">
        <f t="shared" si="8"/>
        <v>5.7176887707052239E-2</v>
      </c>
    </row>
    <row r="167" spans="1:34" ht="17.100000000000001" customHeight="1" x14ac:dyDescent="0.3">
      <c r="A167" s="34" t="s">
        <v>41</v>
      </c>
      <c r="B167" s="16" t="s">
        <v>31</v>
      </c>
      <c r="C167" s="16" t="s">
        <v>94</v>
      </c>
      <c r="D167" s="35">
        <v>930.00000000000011</v>
      </c>
      <c r="E167" s="35">
        <v>1140</v>
      </c>
      <c r="F167" s="16">
        <v>2016</v>
      </c>
      <c r="G167" s="36">
        <v>400</v>
      </c>
      <c r="H167" s="28">
        <f t="shared" si="6"/>
        <v>43.010752688172033</v>
      </c>
      <c r="I167" s="30">
        <f t="shared" si="7"/>
        <v>122.58064516129029</v>
      </c>
      <c r="J167" s="47">
        <v>2144</v>
      </c>
      <c r="K167" s="30">
        <v>479</v>
      </c>
      <c r="L167" s="30">
        <v>2751</v>
      </c>
      <c r="M167" s="32">
        <v>23</v>
      </c>
      <c r="N167" s="33">
        <f t="shared" si="8"/>
        <v>5.7173808377467487E-2</v>
      </c>
    </row>
    <row r="168" spans="1:34" ht="17.100000000000001" customHeight="1" x14ac:dyDescent="0.3">
      <c r="A168" s="27" t="s">
        <v>729</v>
      </c>
      <c r="B168" s="27" t="s">
        <v>128</v>
      </c>
      <c r="C168" s="26" t="s">
        <v>730</v>
      </c>
      <c r="D168" s="29">
        <v>6.1</v>
      </c>
      <c r="E168" s="29">
        <v>5.0869999999999997</v>
      </c>
      <c r="F168" s="27">
        <v>2014</v>
      </c>
      <c r="G168" s="29">
        <v>4.1710000000000003</v>
      </c>
      <c r="H168" s="28">
        <f t="shared" si="6"/>
        <v>68.377049180327873</v>
      </c>
      <c r="I168" s="30">
        <f t="shared" si="7"/>
        <v>83.393442622950815</v>
      </c>
      <c r="J168" s="31">
        <v>1460</v>
      </c>
      <c r="K168" s="31">
        <v>579</v>
      </c>
      <c r="L168" s="31">
        <v>1547</v>
      </c>
      <c r="M168" s="32">
        <v>10.3</v>
      </c>
      <c r="N168" s="33">
        <f t="shared" si="8"/>
        <v>5.7118796317089597E-2</v>
      </c>
    </row>
    <row r="169" spans="1:34" ht="17.100000000000001" customHeight="1" x14ac:dyDescent="0.3">
      <c r="A169" s="42" t="s">
        <v>487</v>
      </c>
      <c r="B169" s="17" t="s">
        <v>11</v>
      </c>
      <c r="C169" s="17" t="s">
        <v>488</v>
      </c>
      <c r="D169" s="43">
        <v>15.3999996185303</v>
      </c>
      <c r="E169" s="43">
        <v>10.699999809265099</v>
      </c>
      <c r="F169" s="17">
        <v>2017</v>
      </c>
      <c r="G169" s="36">
        <v>9.5</v>
      </c>
      <c r="H169" s="28">
        <f t="shared" si="6"/>
        <v>61.688313216378077</v>
      </c>
      <c r="I169" s="30">
        <f t="shared" si="7"/>
        <v>69.480519963066428</v>
      </c>
      <c r="J169" s="31">
        <v>1217</v>
      </c>
      <c r="K169" s="30">
        <v>669</v>
      </c>
      <c r="L169" s="30">
        <v>932</v>
      </c>
      <c r="M169" s="41">
        <v>10.3</v>
      </c>
      <c r="N169" s="33">
        <f t="shared" si="8"/>
        <v>5.7091635138098958E-2</v>
      </c>
    </row>
    <row r="170" spans="1:34" ht="17.100000000000001" customHeight="1" x14ac:dyDescent="0.3">
      <c r="A170" s="27" t="s">
        <v>687</v>
      </c>
      <c r="B170" s="27" t="s">
        <v>128</v>
      </c>
      <c r="C170" s="26" t="s">
        <v>688</v>
      </c>
      <c r="D170" s="29">
        <v>9.8000000000000007</v>
      </c>
      <c r="E170" s="29">
        <v>9.2409999999999997</v>
      </c>
      <c r="F170" s="27">
        <v>2015</v>
      </c>
      <c r="G170" s="29">
        <v>6.9539999999999997</v>
      </c>
      <c r="H170" s="28">
        <f t="shared" si="6"/>
        <v>70.959183673469383</v>
      </c>
      <c r="I170" s="30">
        <f t="shared" si="7"/>
        <v>94.295918367346943</v>
      </c>
      <c r="J170" s="31">
        <v>1655</v>
      </c>
      <c r="K170" s="31">
        <v>638</v>
      </c>
      <c r="L170" s="31">
        <v>1706</v>
      </c>
      <c r="M170" s="32">
        <v>14</v>
      </c>
      <c r="N170" s="33">
        <f t="shared" si="8"/>
        <v>5.6976385720451328E-2</v>
      </c>
    </row>
    <row r="171" spans="1:34" ht="17.100000000000001" customHeight="1" x14ac:dyDescent="0.3">
      <c r="A171" s="34" t="s">
        <v>95</v>
      </c>
      <c r="B171" s="16" t="s">
        <v>10</v>
      </c>
      <c r="C171" s="16" t="s">
        <v>96</v>
      </c>
      <c r="D171" s="35">
        <v>100</v>
      </c>
      <c r="E171" s="35">
        <v>118.25</v>
      </c>
      <c r="F171" s="16">
        <v>2015</v>
      </c>
      <c r="G171" s="36">
        <v>55</v>
      </c>
      <c r="H171" s="28">
        <f t="shared" si="6"/>
        <v>55</v>
      </c>
      <c r="I171" s="30">
        <f t="shared" si="7"/>
        <v>118.25</v>
      </c>
      <c r="J171" s="44">
        <v>2078</v>
      </c>
      <c r="K171" s="30">
        <v>651</v>
      </c>
      <c r="L171" s="30">
        <v>2249</v>
      </c>
      <c r="M171" s="32">
        <v>20</v>
      </c>
      <c r="N171" s="33">
        <f t="shared" si="8"/>
        <v>5.690567853705486E-2</v>
      </c>
    </row>
    <row r="172" spans="1:34" ht="17.100000000000001" customHeight="1" x14ac:dyDescent="0.3">
      <c r="A172" s="42" t="s">
        <v>499</v>
      </c>
      <c r="B172" s="17" t="s">
        <v>22</v>
      </c>
      <c r="C172" s="17" t="s">
        <v>500</v>
      </c>
      <c r="D172" s="43">
        <v>8.6000003814697301</v>
      </c>
      <c r="E172" s="43">
        <v>5.1500000953674299</v>
      </c>
      <c r="F172" s="17">
        <v>2015</v>
      </c>
      <c r="G172" s="36">
        <v>5</v>
      </c>
      <c r="H172" s="28">
        <f t="shared" si="6"/>
        <v>58.139532304828876</v>
      </c>
      <c r="I172" s="30">
        <f t="shared" si="7"/>
        <v>59.883719382897297</v>
      </c>
      <c r="J172" s="31">
        <v>1054</v>
      </c>
      <c r="K172" s="30">
        <v>586</v>
      </c>
      <c r="L172" s="30">
        <v>899</v>
      </c>
      <c r="M172" s="41">
        <v>10.7</v>
      </c>
      <c r="N172" s="33">
        <f t="shared" si="8"/>
        <v>5.6815673038801986E-2</v>
      </c>
      <c r="O172" s="54"/>
      <c r="Q172" s="54"/>
      <c r="S172" s="54"/>
      <c r="T172" s="54"/>
      <c r="U172" s="54"/>
      <c r="V172" s="54"/>
      <c r="W172" s="54"/>
      <c r="X172" s="54"/>
      <c r="Y172" s="54"/>
      <c r="Z172" s="54"/>
      <c r="AA172" s="54"/>
      <c r="AB172" s="54"/>
      <c r="AC172" s="54"/>
      <c r="AD172" s="54"/>
      <c r="AE172" s="54"/>
      <c r="AF172" s="54"/>
      <c r="AG172" s="54"/>
      <c r="AH172" s="54"/>
    </row>
    <row r="173" spans="1:34" ht="17.100000000000001" customHeight="1" x14ac:dyDescent="0.3">
      <c r="A173" s="42" t="s">
        <v>306</v>
      </c>
      <c r="B173" s="17" t="s">
        <v>128</v>
      </c>
      <c r="C173" s="17" t="s">
        <v>307</v>
      </c>
      <c r="D173" s="43">
        <v>9.8999996185302699</v>
      </c>
      <c r="E173" s="43">
        <v>9.3000001907348597</v>
      </c>
      <c r="F173" s="17">
        <v>2014</v>
      </c>
      <c r="G173" s="36">
        <v>6.4000000953674299</v>
      </c>
      <c r="H173" s="28">
        <f t="shared" si="6"/>
        <v>64.646468100748862</v>
      </c>
      <c r="I173" s="30">
        <f t="shared" si="7"/>
        <v>93.939399485709416</v>
      </c>
      <c r="J173" s="31">
        <v>1654</v>
      </c>
      <c r="K173" s="30">
        <v>653</v>
      </c>
      <c r="L173" s="30">
        <v>1678</v>
      </c>
      <c r="M173" s="41">
        <v>15.9</v>
      </c>
      <c r="N173" s="33">
        <f t="shared" si="8"/>
        <v>5.6795283848675583E-2</v>
      </c>
      <c r="O173" s="9"/>
      <c r="Q173" s="4"/>
      <c r="S173" s="8"/>
      <c r="T173" s="8"/>
      <c r="U173" s="8"/>
      <c r="V173" s="4"/>
      <c r="W173" s="8"/>
      <c r="X173" s="8"/>
      <c r="Y173" s="8"/>
      <c r="Z173" s="8"/>
      <c r="AA173" s="8"/>
      <c r="AB173" s="4"/>
      <c r="AC173" s="8"/>
      <c r="AD173" s="8"/>
      <c r="AE173" s="8"/>
      <c r="AF173" s="8"/>
      <c r="AG173" s="8"/>
      <c r="AH173" s="4"/>
    </row>
    <row r="174" spans="1:34" ht="17.100000000000001" customHeight="1" x14ac:dyDescent="0.3">
      <c r="A174" s="34" t="s">
        <v>97</v>
      </c>
      <c r="B174" s="16" t="s">
        <v>19</v>
      </c>
      <c r="C174" s="16" t="s">
        <v>98</v>
      </c>
      <c r="D174" s="35">
        <v>144.1</v>
      </c>
      <c r="E174" s="35">
        <v>180</v>
      </c>
      <c r="F174" s="16">
        <v>2014</v>
      </c>
      <c r="G174" s="36">
        <v>96</v>
      </c>
      <c r="H174" s="28">
        <f t="shared" si="6"/>
        <v>66.620402498265094</v>
      </c>
      <c r="I174" s="30">
        <f t="shared" si="7"/>
        <v>124.91325468424705</v>
      </c>
      <c r="J174" s="44">
        <v>2204</v>
      </c>
      <c r="K174" s="30">
        <v>464</v>
      </c>
      <c r="L174" s="30">
        <v>2838</v>
      </c>
      <c r="M174" s="32">
        <v>16.8</v>
      </c>
      <c r="N174" s="33">
        <f t="shared" si="8"/>
        <v>5.6675705392126609E-2</v>
      </c>
    </row>
    <row r="175" spans="1:34" ht="17.100000000000001" customHeight="1" x14ac:dyDescent="0.3">
      <c r="A175" s="42" t="s">
        <v>474</v>
      </c>
      <c r="B175" s="17" t="s">
        <v>11</v>
      </c>
      <c r="C175" s="17" t="s">
        <v>475</v>
      </c>
      <c r="D175" s="43">
        <v>13.5</v>
      </c>
      <c r="E175" s="43">
        <v>9.8590898513793892</v>
      </c>
      <c r="F175" s="17">
        <v>2014</v>
      </c>
      <c r="G175" s="36">
        <v>8</v>
      </c>
      <c r="H175" s="28">
        <f t="shared" si="6"/>
        <v>59.25925925925926</v>
      </c>
      <c r="I175" s="30">
        <f t="shared" si="7"/>
        <v>73.030295195402886</v>
      </c>
      <c r="J175" s="31">
        <v>1291</v>
      </c>
      <c r="K175" s="30">
        <v>676</v>
      </c>
      <c r="L175" s="30">
        <v>1083</v>
      </c>
      <c r="M175" s="41">
        <v>10.1</v>
      </c>
      <c r="N175" s="33">
        <f t="shared" si="8"/>
        <v>5.6568780166849637E-2</v>
      </c>
      <c r="O175" s="54"/>
      <c r="P175" s="54"/>
      <c r="Q175" s="54"/>
      <c r="S175" s="54"/>
      <c r="T175" s="54"/>
      <c r="U175" s="54"/>
      <c r="V175" s="54"/>
      <c r="W175" s="54"/>
      <c r="X175" s="54"/>
      <c r="Y175" s="54"/>
      <c r="Z175" s="54"/>
      <c r="AA175" s="54"/>
      <c r="AB175" s="54"/>
      <c r="AC175" s="54"/>
      <c r="AD175" s="54"/>
      <c r="AE175" s="54"/>
      <c r="AF175" s="54"/>
      <c r="AG175" s="54"/>
      <c r="AH175" s="54"/>
    </row>
    <row r="176" spans="1:34" ht="17.100000000000001" customHeight="1" x14ac:dyDescent="0.3">
      <c r="A176" s="34" t="s">
        <v>99</v>
      </c>
      <c r="B176" s="16" t="s">
        <v>17</v>
      </c>
      <c r="C176" s="16" t="s">
        <v>100</v>
      </c>
      <c r="D176" s="35">
        <v>72</v>
      </c>
      <c r="E176" s="35">
        <v>71</v>
      </c>
      <c r="F176" s="16">
        <v>2016</v>
      </c>
      <c r="G176" s="36">
        <v>49.81</v>
      </c>
      <c r="H176" s="28">
        <f t="shared" si="6"/>
        <v>69.180555555555557</v>
      </c>
      <c r="I176" s="30">
        <f t="shared" si="7"/>
        <v>98.611111111111114</v>
      </c>
      <c r="J176" s="44">
        <v>1747</v>
      </c>
      <c r="K176" s="30">
        <v>809</v>
      </c>
      <c r="L176" s="30">
        <v>1330</v>
      </c>
      <c r="M176" s="32">
        <v>25.8</v>
      </c>
      <c r="N176" s="33">
        <f t="shared" si="8"/>
        <v>5.6445970870698976E-2</v>
      </c>
      <c r="O176" s="54"/>
      <c r="Q176" s="54"/>
      <c r="S176" s="54"/>
      <c r="T176" s="54"/>
      <c r="U176" s="54"/>
      <c r="V176" s="54"/>
      <c r="W176" s="54"/>
      <c r="X176" s="54"/>
      <c r="Y176" s="54"/>
      <c r="Z176" s="54"/>
      <c r="AA176" s="54"/>
      <c r="AB176" s="54"/>
      <c r="AC176" s="54"/>
      <c r="AD176" s="54"/>
      <c r="AE176" s="54"/>
      <c r="AF176" s="54"/>
      <c r="AG176" s="54"/>
      <c r="AH176" s="54"/>
    </row>
    <row r="177" spans="1:34" ht="17.100000000000001" customHeight="1" x14ac:dyDescent="0.3">
      <c r="A177" s="42" t="s">
        <v>318</v>
      </c>
      <c r="B177" s="17" t="s">
        <v>128</v>
      </c>
      <c r="C177" s="17" t="s">
        <v>319</v>
      </c>
      <c r="D177" s="43">
        <v>7.3000001907348597</v>
      </c>
      <c r="E177" s="43">
        <v>6.75</v>
      </c>
      <c r="F177" s="17">
        <v>2014</v>
      </c>
      <c r="G177" s="36">
        <v>4.5</v>
      </c>
      <c r="H177" s="28">
        <f t="shared" si="6"/>
        <v>61.643834005804372</v>
      </c>
      <c r="I177" s="30">
        <f t="shared" si="7"/>
        <v>92.465751008706562</v>
      </c>
      <c r="J177" s="31">
        <v>1641</v>
      </c>
      <c r="K177" s="30">
        <v>646</v>
      </c>
      <c r="L177" s="30">
        <v>1672</v>
      </c>
      <c r="M177" s="41">
        <v>15.3</v>
      </c>
      <c r="N177" s="33">
        <f t="shared" si="8"/>
        <v>5.6347197445890652E-2</v>
      </c>
    </row>
    <row r="178" spans="1:34" ht="17.100000000000001" customHeight="1" x14ac:dyDescent="0.3">
      <c r="A178" s="27" t="s">
        <v>872</v>
      </c>
      <c r="B178" s="27" t="s">
        <v>128</v>
      </c>
      <c r="C178" s="26" t="s">
        <v>873</v>
      </c>
      <c r="D178" s="29">
        <v>10.7</v>
      </c>
      <c r="E178" s="29">
        <v>10.082000000000001</v>
      </c>
      <c r="F178" s="27">
        <v>2015</v>
      </c>
      <c r="G178" s="29">
        <v>6.4</v>
      </c>
      <c r="H178" s="28">
        <f t="shared" si="6"/>
        <v>59.813084112149532</v>
      </c>
      <c r="I178" s="30">
        <f t="shared" si="7"/>
        <v>94.224299065420567</v>
      </c>
      <c r="J178" s="31">
        <v>1676</v>
      </c>
      <c r="K178" s="31">
        <v>657</v>
      </c>
      <c r="L178" s="31">
        <v>1697</v>
      </c>
      <c r="M178" s="32">
        <v>16.100000000000001</v>
      </c>
      <c r="N178" s="33">
        <f t="shared" si="8"/>
        <v>5.621974884571633E-2</v>
      </c>
    </row>
    <row r="179" spans="1:34" ht="17.100000000000001" customHeight="1" x14ac:dyDescent="0.3">
      <c r="A179" s="27" t="s">
        <v>809</v>
      </c>
      <c r="B179" s="27" t="s">
        <v>128</v>
      </c>
      <c r="C179" s="26" t="s">
        <v>810</v>
      </c>
      <c r="D179" s="29">
        <v>10.3</v>
      </c>
      <c r="E179" s="29">
        <v>9.4604999999999997</v>
      </c>
      <c r="F179" s="27">
        <v>2015</v>
      </c>
      <c r="G179" s="29">
        <v>6.5</v>
      </c>
      <c r="H179" s="28">
        <f t="shared" si="6"/>
        <v>63.106796116504853</v>
      </c>
      <c r="I179" s="30">
        <f t="shared" si="7"/>
        <v>91.849514563106794</v>
      </c>
      <c r="J179" s="31">
        <v>1635</v>
      </c>
      <c r="K179" s="31">
        <v>639</v>
      </c>
      <c r="L179" s="31">
        <v>1683</v>
      </c>
      <c r="M179" s="32">
        <v>14.3</v>
      </c>
      <c r="N179" s="33">
        <f t="shared" si="8"/>
        <v>5.6177073127282443E-2</v>
      </c>
      <c r="O179" s="54"/>
      <c r="P179" s="54"/>
      <c r="Q179" s="54"/>
      <c r="S179" s="54"/>
      <c r="T179" s="54"/>
      <c r="U179" s="54"/>
      <c r="V179" s="54"/>
      <c r="W179" s="54"/>
      <c r="X179" s="54"/>
      <c r="Y179" s="54"/>
      <c r="Z179" s="54"/>
      <c r="AA179" s="54"/>
      <c r="AB179" s="54"/>
      <c r="AC179" s="54"/>
      <c r="AD179" s="54"/>
      <c r="AE179" s="54"/>
      <c r="AF179" s="54"/>
      <c r="AG179" s="54"/>
      <c r="AH179" s="54"/>
    </row>
    <row r="180" spans="1:34" ht="17.100000000000001" customHeight="1" x14ac:dyDescent="0.3">
      <c r="A180" s="42" t="s">
        <v>394</v>
      </c>
      <c r="B180" s="17" t="s">
        <v>11</v>
      </c>
      <c r="C180" s="17" t="s">
        <v>395</v>
      </c>
      <c r="D180" s="43">
        <v>24.299999237060501</v>
      </c>
      <c r="E180" s="43">
        <v>20.049999237060501</v>
      </c>
      <c r="F180" s="17">
        <v>2015</v>
      </c>
      <c r="G180" s="36">
        <v>19.600000381469702</v>
      </c>
      <c r="H180" s="28">
        <f t="shared" si="6"/>
        <v>80.658440316233751</v>
      </c>
      <c r="I180" s="30">
        <f t="shared" si="7"/>
        <v>82.510287516724603</v>
      </c>
      <c r="J180" s="31">
        <v>1469</v>
      </c>
      <c r="K180" s="37">
        <v>707</v>
      </c>
      <c r="L180" s="30">
        <v>1198</v>
      </c>
      <c r="M180" s="41">
        <v>16.399999999999999</v>
      </c>
      <c r="N180" s="33">
        <f t="shared" si="8"/>
        <v>5.6167656580479647E-2</v>
      </c>
      <c r="O180" s="54"/>
      <c r="Q180" s="54"/>
      <c r="S180" s="54"/>
      <c r="T180" s="54"/>
      <c r="U180" s="54"/>
      <c r="V180" s="54"/>
      <c r="W180" s="54"/>
      <c r="X180" s="54"/>
      <c r="Y180" s="54"/>
      <c r="Z180" s="54"/>
      <c r="AA180" s="54"/>
      <c r="AB180" s="54"/>
      <c r="AC180" s="54"/>
      <c r="AD180" s="54"/>
      <c r="AE180" s="54"/>
      <c r="AF180" s="54"/>
      <c r="AG180" s="54"/>
      <c r="AH180" s="54"/>
    </row>
    <row r="181" spans="1:34" ht="17.100000000000001" customHeight="1" x14ac:dyDescent="0.3">
      <c r="A181" s="42" t="s">
        <v>300</v>
      </c>
      <c r="B181" s="17" t="s">
        <v>128</v>
      </c>
      <c r="C181" s="17" t="s">
        <v>301</v>
      </c>
      <c r="D181" s="43">
        <v>9.8999996185302699</v>
      </c>
      <c r="E181" s="43">
        <v>9.2060003280639595</v>
      </c>
      <c r="F181" s="17">
        <v>2014</v>
      </c>
      <c r="G181" s="36">
        <v>6.4800000190734899</v>
      </c>
      <c r="H181" s="28">
        <f t="shared" si="6"/>
        <v>65.454548169320987</v>
      </c>
      <c r="I181" s="30">
        <f t="shared" si="7"/>
        <v>92.989905886790922</v>
      </c>
      <c r="J181" s="31">
        <v>1657</v>
      </c>
      <c r="K181" s="30">
        <v>650</v>
      </c>
      <c r="L181" s="30">
        <v>1688</v>
      </c>
      <c r="M181" s="41">
        <v>15.6</v>
      </c>
      <c r="N181" s="33">
        <f t="shared" si="8"/>
        <v>5.6119436262396453E-2</v>
      </c>
    </row>
    <row r="182" spans="1:34" ht="17.100000000000001" customHeight="1" x14ac:dyDescent="0.3">
      <c r="A182" s="42" t="s">
        <v>470</v>
      </c>
      <c r="B182" s="17" t="s">
        <v>6</v>
      </c>
      <c r="C182" s="17" t="s">
        <v>471</v>
      </c>
      <c r="D182" s="43">
        <v>26.200000762939499</v>
      </c>
      <c r="E182" s="43">
        <v>19.0640354156494</v>
      </c>
      <c r="F182" s="17">
        <v>2014</v>
      </c>
      <c r="G182" s="36">
        <v>11.5494604110718</v>
      </c>
      <c r="H182" s="28">
        <f t="shared" si="6"/>
        <v>44.081908682265293</v>
      </c>
      <c r="I182" s="30">
        <f t="shared" si="7"/>
        <v>72.763491833999922</v>
      </c>
      <c r="J182" s="31">
        <v>1297</v>
      </c>
      <c r="K182" s="30">
        <v>627</v>
      </c>
      <c r="L182" s="30">
        <v>1178</v>
      </c>
      <c r="M182" s="41">
        <v>13.9</v>
      </c>
      <c r="N182" s="33">
        <f t="shared" si="8"/>
        <v>5.6101381521973727E-2</v>
      </c>
    </row>
    <row r="183" spans="1:34" ht="17.100000000000001" customHeight="1" x14ac:dyDescent="0.3">
      <c r="A183" s="27" t="s">
        <v>741</v>
      </c>
      <c r="B183" s="27" t="s">
        <v>128</v>
      </c>
      <c r="C183" s="26" t="s">
        <v>742</v>
      </c>
      <c r="D183" s="29">
        <v>75.099999999999994</v>
      </c>
      <c r="E183" s="29">
        <v>69.655000000000001</v>
      </c>
      <c r="F183" s="27">
        <v>2016</v>
      </c>
      <c r="G183" s="29">
        <v>50.764499999999998</v>
      </c>
      <c r="H183" s="28">
        <f t="shared" si="6"/>
        <v>67.595872170439421</v>
      </c>
      <c r="I183" s="30">
        <f t="shared" si="7"/>
        <v>92.749667110519312</v>
      </c>
      <c r="J183" s="31">
        <v>1655</v>
      </c>
      <c r="K183" s="31">
        <v>663</v>
      </c>
      <c r="L183" s="31">
        <v>1660</v>
      </c>
      <c r="M183" s="32">
        <v>16.3</v>
      </c>
      <c r="N183" s="33">
        <f t="shared" si="8"/>
        <v>5.6042094930827381E-2</v>
      </c>
      <c r="O183" s="9"/>
      <c r="P183" s="10"/>
      <c r="Q183" s="4"/>
      <c r="S183" s="8"/>
      <c r="T183" s="8"/>
      <c r="U183" s="8"/>
      <c r="V183" s="4"/>
      <c r="W183" s="8"/>
      <c r="X183" s="8"/>
      <c r="Y183" s="8"/>
      <c r="Z183" s="8"/>
      <c r="AA183" s="8"/>
      <c r="AB183" s="4"/>
      <c r="AC183" s="8"/>
      <c r="AD183" s="8"/>
      <c r="AE183" s="8"/>
      <c r="AF183" s="8"/>
      <c r="AG183" s="8"/>
      <c r="AH183" s="4"/>
    </row>
    <row r="184" spans="1:34" ht="17.100000000000001" customHeight="1" x14ac:dyDescent="0.3">
      <c r="A184" s="42" t="s">
        <v>400</v>
      </c>
      <c r="B184" s="17" t="s">
        <v>11</v>
      </c>
      <c r="C184" s="17" t="s">
        <v>401</v>
      </c>
      <c r="D184" s="43">
        <v>25.200000762939499</v>
      </c>
      <c r="E184" s="43">
        <v>20.680000305175799</v>
      </c>
      <c r="F184" s="17">
        <v>2014</v>
      </c>
      <c r="G184" s="36">
        <v>19.600000381469702</v>
      </c>
      <c r="H184" s="28">
        <f t="shared" si="6"/>
        <v>77.777776936794908</v>
      </c>
      <c r="I184" s="30">
        <f t="shared" si="7"/>
        <v>82.063490790004025</v>
      </c>
      <c r="J184" s="31">
        <v>1466</v>
      </c>
      <c r="K184" s="30">
        <v>709</v>
      </c>
      <c r="L184" s="30">
        <v>1206</v>
      </c>
      <c r="M184" s="41">
        <v>15.7</v>
      </c>
      <c r="N184" s="33">
        <f t="shared" si="8"/>
        <v>5.5977824549798105E-2</v>
      </c>
    </row>
    <row r="185" spans="1:34" ht="17.100000000000001" customHeight="1" x14ac:dyDescent="0.3">
      <c r="A185" s="27" t="s">
        <v>795</v>
      </c>
      <c r="B185" s="27" t="s">
        <v>128</v>
      </c>
      <c r="C185" s="26" t="s">
        <v>796</v>
      </c>
      <c r="D185" s="29">
        <v>11.2</v>
      </c>
      <c r="E185" s="29">
        <v>10.162000000000001</v>
      </c>
      <c r="F185" s="27">
        <v>2016</v>
      </c>
      <c r="G185" s="29">
        <v>7.1807999999999996</v>
      </c>
      <c r="H185" s="28">
        <f t="shared" si="6"/>
        <v>64.114285714285714</v>
      </c>
      <c r="I185" s="30">
        <f t="shared" si="7"/>
        <v>90.732142857142861</v>
      </c>
      <c r="J185" s="31">
        <v>1621</v>
      </c>
      <c r="K185" s="31">
        <v>639</v>
      </c>
      <c r="L185" s="31">
        <v>1663</v>
      </c>
      <c r="M185" s="32">
        <v>14.8</v>
      </c>
      <c r="N185" s="33">
        <f t="shared" si="8"/>
        <v>5.5972944390587823E-2</v>
      </c>
      <c r="O185" s="54"/>
      <c r="Q185" s="54"/>
      <c r="S185" s="54"/>
      <c r="T185" s="54"/>
      <c r="U185" s="54"/>
      <c r="V185" s="54"/>
      <c r="W185" s="54"/>
      <c r="X185" s="54"/>
      <c r="Y185" s="54"/>
      <c r="Z185" s="54"/>
      <c r="AA185" s="54"/>
      <c r="AB185" s="54"/>
      <c r="AC185" s="54"/>
      <c r="AD185" s="54"/>
      <c r="AE185" s="54"/>
      <c r="AF185" s="54"/>
      <c r="AG185" s="54"/>
      <c r="AH185" s="54"/>
    </row>
    <row r="186" spans="1:34" ht="17.100000000000001" customHeight="1" x14ac:dyDescent="0.3">
      <c r="A186" s="27" t="s">
        <v>1181</v>
      </c>
      <c r="B186" s="27" t="s">
        <v>128</v>
      </c>
      <c r="C186" s="26" t="s">
        <v>1182</v>
      </c>
      <c r="D186" s="29">
        <v>6</v>
      </c>
      <c r="E186" s="29">
        <v>4.9965000000000002</v>
      </c>
      <c r="F186" s="27">
        <v>2015</v>
      </c>
      <c r="G186" s="29">
        <v>2.5</v>
      </c>
      <c r="H186" s="28">
        <f t="shared" si="6"/>
        <v>41.666666666666664</v>
      </c>
      <c r="I186" s="30">
        <f t="shared" si="7"/>
        <v>83.275000000000006</v>
      </c>
      <c r="J186" s="31">
        <v>1488</v>
      </c>
      <c r="K186" s="31">
        <v>609</v>
      </c>
      <c r="L186" s="31">
        <v>1536</v>
      </c>
      <c r="M186" s="32">
        <v>11.6</v>
      </c>
      <c r="N186" s="33">
        <f t="shared" si="8"/>
        <v>5.5964381720430112E-2</v>
      </c>
    </row>
    <row r="187" spans="1:34" ht="17.100000000000001" customHeight="1" x14ac:dyDescent="0.3">
      <c r="A187" s="27" t="s">
        <v>874</v>
      </c>
      <c r="B187" s="27" t="s">
        <v>128</v>
      </c>
      <c r="C187" s="26" t="s">
        <v>875</v>
      </c>
      <c r="D187" s="29">
        <v>10.9</v>
      </c>
      <c r="E187" s="29">
        <v>10.0915</v>
      </c>
      <c r="F187" s="27">
        <v>2015</v>
      </c>
      <c r="G187" s="29">
        <v>6.5</v>
      </c>
      <c r="H187" s="28">
        <f t="shared" si="6"/>
        <v>59.633027522935777</v>
      </c>
      <c r="I187" s="30">
        <f t="shared" si="7"/>
        <v>92.582568807339456</v>
      </c>
      <c r="J187" s="31">
        <v>1658</v>
      </c>
      <c r="K187" s="31">
        <v>649</v>
      </c>
      <c r="L187" s="31">
        <v>1690</v>
      </c>
      <c r="M187" s="32">
        <v>15.7</v>
      </c>
      <c r="N187" s="33">
        <f t="shared" si="8"/>
        <v>5.5839908810216804E-2</v>
      </c>
      <c r="O187" s="9"/>
      <c r="Q187" s="4"/>
      <c r="S187" s="8"/>
      <c r="T187" s="8"/>
      <c r="U187" s="8"/>
      <c r="V187" s="4"/>
      <c r="W187" s="8"/>
      <c r="X187" s="8"/>
      <c r="Y187" s="8"/>
      <c r="Z187" s="8"/>
      <c r="AA187" s="8"/>
      <c r="AB187" s="4"/>
      <c r="AC187" s="8"/>
      <c r="AD187" s="8"/>
      <c r="AE187" s="8"/>
      <c r="AF187" s="8"/>
      <c r="AG187" s="8"/>
      <c r="AH187" s="4"/>
    </row>
    <row r="188" spans="1:34" ht="17.100000000000001" customHeight="1" x14ac:dyDescent="0.3">
      <c r="A188" s="27" t="s">
        <v>751</v>
      </c>
      <c r="B188" s="27" t="s">
        <v>128</v>
      </c>
      <c r="C188" s="26" t="s">
        <v>752</v>
      </c>
      <c r="D188" s="29">
        <v>10.199999999999999</v>
      </c>
      <c r="E188" s="29">
        <v>9.3539999999999992</v>
      </c>
      <c r="F188" s="27">
        <v>2016</v>
      </c>
      <c r="G188" s="29">
        <v>6.8277999999999999</v>
      </c>
      <c r="H188" s="28">
        <f t="shared" si="6"/>
        <v>66.939215686274508</v>
      </c>
      <c r="I188" s="30">
        <f t="shared" si="7"/>
        <v>91.705882352941174</v>
      </c>
      <c r="J188" s="31">
        <v>1643</v>
      </c>
      <c r="K188" s="31">
        <v>643</v>
      </c>
      <c r="L188" s="31">
        <v>1684</v>
      </c>
      <c r="M188" s="32">
        <v>15.1</v>
      </c>
      <c r="N188" s="33">
        <f t="shared" si="8"/>
        <v>5.5816118291504062E-2</v>
      </c>
      <c r="O188" s="54"/>
      <c r="P188" s="54"/>
      <c r="Q188" s="54"/>
      <c r="S188" s="54"/>
      <c r="T188" s="54"/>
      <c r="U188" s="54"/>
      <c r="V188" s="54"/>
      <c r="W188" s="54"/>
      <c r="X188" s="54"/>
      <c r="Y188" s="54"/>
      <c r="Z188" s="54"/>
      <c r="AA188" s="54"/>
      <c r="AB188" s="54"/>
      <c r="AC188" s="54"/>
      <c r="AD188" s="54"/>
      <c r="AE188" s="54"/>
      <c r="AF188" s="54"/>
      <c r="AG188" s="54"/>
      <c r="AH188" s="54"/>
    </row>
    <row r="189" spans="1:34" ht="17.100000000000001" customHeight="1" x14ac:dyDescent="0.3">
      <c r="A189" s="42" t="s">
        <v>266</v>
      </c>
      <c r="B189" s="17" t="s">
        <v>128</v>
      </c>
      <c r="C189" s="17" t="s">
        <v>267</v>
      </c>
      <c r="D189" s="43">
        <v>32</v>
      </c>
      <c r="E189" s="43">
        <v>36</v>
      </c>
      <c r="F189" s="17">
        <v>2015</v>
      </c>
      <c r="G189" s="36">
        <v>20</v>
      </c>
      <c r="H189" s="28">
        <f t="shared" ref="H189:H252" si="9">G189*10^6/(D189*10^4)</f>
        <v>62.5</v>
      </c>
      <c r="I189" s="30">
        <f t="shared" ref="I189:I252" si="10">E189*10^6/(D189*10^4)</f>
        <v>112.5</v>
      </c>
      <c r="J189" s="31">
        <v>2025</v>
      </c>
      <c r="K189" s="30">
        <v>488</v>
      </c>
      <c r="L189" s="30">
        <v>2504</v>
      </c>
      <c r="M189" s="41">
        <v>16.899999999999999</v>
      </c>
      <c r="N189" s="33">
        <f t="shared" ref="N189:N252" si="11">I189/J189</f>
        <v>5.5555555555555552E-2</v>
      </c>
    </row>
    <row r="190" spans="1:34" ht="17.100000000000001" customHeight="1" x14ac:dyDescent="0.3">
      <c r="A190" s="27" t="s">
        <v>805</v>
      </c>
      <c r="B190" s="27" t="s">
        <v>6</v>
      </c>
      <c r="C190" s="26" t="s">
        <v>806</v>
      </c>
      <c r="D190" s="29">
        <v>23.7</v>
      </c>
      <c r="E190" s="29">
        <v>20</v>
      </c>
      <c r="F190" s="27">
        <v>2016</v>
      </c>
      <c r="G190" s="29">
        <v>15</v>
      </c>
      <c r="H190" s="28">
        <f t="shared" si="9"/>
        <v>63.291139240506332</v>
      </c>
      <c r="I190" s="30">
        <f t="shared" si="10"/>
        <v>84.388185654008439</v>
      </c>
      <c r="J190" s="31">
        <v>1523</v>
      </c>
      <c r="K190" s="31">
        <v>576</v>
      </c>
      <c r="L190" s="31">
        <v>1675</v>
      </c>
      <c r="M190" s="32">
        <v>14.3</v>
      </c>
      <c r="N190" s="33">
        <f t="shared" si="11"/>
        <v>5.5409182963892606E-2</v>
      </c>
    </row>
    <row r="191" spans="1:34" ht="17.100000000000001" customHeight="1" x14ac:dyDescent="0.3">
      <c r="A191" s="27" t="s">
        <v>793</v>
      </c>
      <c r="B191" s="27" t="s">
        <v>128</v>
      </c>
      <c r="C191" s="26" t="s">
        <v>794</v>
      </c>
      <c r="D191" s="29">
        <v>10</v>
      </c>
      <c r="E191" s="29">
        <v>8.9789999999999992</v>
      </c>
      <c r="F191" s="27">
        <v>2016</v>
      </c>
      <c r="G191" s="29">
        <v>6.4638</v>
      </c>
      <c r="H191" s="28">
        <f t="shared" si="9"/>
        <v>64.638000000000005</v>
      </c>
      <c r="I191" s="30">
        <f t="shared" si="10"/>
        <v>89.79</v>
      </c>
      <c r="J191" s="31">
        <v>1621</v>
      </c>
      <c r="K191" s="31">
        <v>635</v>
      </c>
      <c r="L191" s="31">
        <v>1673</v>
      </c>
      <c r="M191" s="32">
        <v>14.3</v>
      </c>
      <c r="N191" s="33">
        <f t="shared" si="11"/>
        <v>5.5391733497840843E-2</v>
      </c>
    </row>
    <row r="192" spans="1:34" ht="17.100000000000001" customHeight="1" x14ac:dyDescent="0.3">
      <c r="A192" s="34" t="s">
        <v>101</v>
      </c>
      <c r="B192" s="16" t="s">
        <v>20</v>
      </c>
      <c r="C192" s="16" t="s">
        <v>102</v>
      </c>
      <c r="D192" s="35">
        <v>14.7</v>
      </c>
      <c r="E192" s="35">
        <v>15</v>
      </c>
      <c r="F192" s="16">
        <v>2014</v>
      </c>
      <c r="G192" s="36">
        <v>10</v>
      </c>
      <c r="H192" s="28">
        <f t="shared" si="9"/>
        <v>68.027210884353735</v>
      </c>
      <c r="I192" s="30">
        <f t="shared" si="10"/>
        <v>102.04081632653062</v>
      </c>
      <c r="J192" s="44">
        <v>1843</v>
      </c>
      <c r="K192" s="30">
        <v>887</v>
      </c>
      <c r="L192" s="30">
        <v>1355</v>
      </c>
      <c r="M192" s="32">
        <v>24.8</v>
      </c>
      <c r="N192" s="33">
        <f t="shared" si="11"/>
        <v>5.536669361179089E-2</v>
      </c>
    </row>
    <row r="193" spans="1:34" ht="17.100000000000001" customHeight="1" x14ac:dyDescent="0.3">
      <c r="A193" s="27" t="s">
        <v>974</v>
      </c>
      <c r="B193" s="27" t="s">
        <v>9</v>
      </c>
      <c r="C193" s="26" t="s">
        <v>975</v>
      </c>
      <c r="D193" s="29">
        <v>39.200000000000003</v>
      </c>
      <c r="E193" s="29">
        <v>39</v>
      </c>
      <c r="F193" s="27">
        <v>2015</v>
      </c>
      <c r="G193" s="29">
        <v>21</v>
      </c>
      <c r="H193" s="28">
        <f t="shared" si="9"/>
        <v>53.571428571428569</v>
      </c>
      <c r="I193" s="30">
        <f t="shared" si="10"/>
        <v>99.489795918367349</v>
      </c>
      <c r="J193" s="31">
        <v>1798</v>
      </c>
      <c r="K193" s="31">
        <v>930</v>
      </c>
      <c r="L193" s="31">
        <v>1300</v>
      </c>
      <c r="M193" s="32">
        <v>26.3</v>
      </c>
      <c r="N193" s="33">
        <f t="shared" si="11"/>
        <v>5.5333590610882839E-2</v>
      </c>
    </row>
    <row r="194" spans="1:34" ht="17.100000000000001" customHeight="1" x14ac:dyDescent="0.3">
      <c r="A194" s="27" t="s">
        <v>747</v>
      </c>
      <c r="B194" s="27" t="s">
        <v>128</v>
      </c>
      <c r="C194" s="26" t="s">
        <v>748</v>
      </c>
      <c r="D194" s="29">
        <v>9.8000000000000007</v>
      </c>
      <c r="E194" s="29">
        <v>8.7810000000000006</v>
      </c>
      <c r="F194" s="27">
        <v>2015</v>
      </c>
      <c r="G194" s="29">
        <v>6.5949999999999998</v>
      </c>
      <c r="H194" s="28">
        <f t="shared" si="9"/>
        <v>67.295918367346943</v>
      </c>
      <c r="I194" s="30">
        <f t="shared" si="10"/>
        <v>89.602040816326536</v>
      </c>
      <c r="J194" s="31">
        <v>1621</v>
      </c>
      <c r="K194" s="31">
        <v>640</v>
      </c>
      <c r="L194" s="31">
        <v>1663</v>
      </c>
      <c r="M194" s="32">
        <v>15.3</v>
      </c>
      <c r="N194" s="33">
        <f t="shared" si="11"/>
        <v>5.5275780886074356E-2</v>
      </c>
    </row>
    <row r="195" spans="1:34" ht="17.100000000000001" customHeight="1" x14ac:dyDescent="0.3">
      <c r="A195" s="42" t="s">
        <v>388</v>
      </c>
      <c r="B195" s="17" t="s">
        <v>11</v>
      </c>
      <c r="C195" s="17" t="s">
        <v>389</v>
      </c>
      <c r="D195" s="43">
        <v>26.899999618530298</v>
      </c>
      <c r="E195" s="43">
        <v>21.895999908447301</v>
      </c>
      <c r="F195" s="17">
        <v>2015</v>
      </c>
      <c r="G195" s="36">
        <v>22.399999618530298</v>
      </c>
      <c r="H195" s="28">
        <f t="shared" si="9"/>
        <v>83.271375227454897</v>
      </c>
      <c r="I195" s="30">
        <f t="shared" si="10"/>
        <v>81.397770330688232</v>
      </c>
      <c r="J195" s="31">
        <v>1474</v>
      </c>
      <c r="K195" s="30">
        <v>711</v>
      </c>
      <c r="L195" s="30">
        <v>1201</v>
      </c>
      <c r="M195" s="41">
        <v>16.3</v>
      </c>
      <c r="N195" s="33">
        <f t="shared" si="11"/>
        <v>5.522236793126746E-2</v>
      </c>
      <c r="O195" s="9"/>
      <c r="P195" s="54"/>
      <c r="Q195" s="4"/>
      <c r="S195" s="8"/>
      <c r="T195" s="8"/>
      <c r="U195" s="8"/>
      <c r="V195" s="4"/>
      <c r="W195" s="8"/>
      <c r="X195" s="8"/>
      <c r="Y195" s="8"/>
      <c r="Z195" s="8"/>
      <c r="AA195" s="8"/>
      <c r="AB195" s="4"/>
      <c r="AC195" s="8"/>
      <c r="AD195" s="8"/>
      <c r="AE195" s="8"/>
      <c r="AF195" s="8"/>
      <c r="AG195" s="8"/>
      <c r="AH195" s="4"/>
    </row>
    <row r="196" spans="1:34" ht="17.100000000000001" customHeight="1" x14ac:dyDescent="0.3">
      <c r="A196" s="27" t="s">
        <v>781</v>
      </c>
      <c r="B196" s="27" t="s">
        <v>128</v>
      </c>
      <c r="C196" s="26" t="s">
        <v>782</v>
      </c>
      <c r="D196" s="29">
        <v>10.6</v>
      </c>
      <c r="E196" s="29">
        <v>9.68</v>
      </c>
      <c r="F196" s="27">
        <v>2015</v>
      </c>
      <c r="G196" s="29">
        <v>6.9539999999999997</v>
      </c>
      <c r="H196" s="28">
        <f t="shared" si="9"/>
        <v>65.603773584905667</v>
      </c>
      <c r="I196" s="30">
        <f t="shared" si="10"/>
        <v>91.320754716981128</v>
      </c>
      <c r="J196" s="31">
        <v>1654</v>
      </c>
      <c r="K196" s="31">
        <v>639</v>
      </c>
      <c r="L196" s="31">
        <v>1708</v>
      </c>
      <c r="M196" s="32">
        <v>14.1</v>
      </c>
      <c r="N196" s="33">
        <f t="shared" si="11"/>
        <v>5.5212064520544821E-2</v>
      </c>
    </row>
    <row r="197" spans="1:34" ht="17.100000000000001" customHeight="1" x14ac:dyDescent="0.3">
      <c r="A197" s="27" t="s">
        <v>811</v>
      </c>
      <c r="B197" s="27" t="s">
        <v>128</v>
      </c>
      <c r="C197" s="26" t="s">
        <v>812</v>
      </c>
      <c r="D197" s="29">
        <v>10.3</v>
      </c>
      <c r="E197" s="29">
        <v>9.4139999999999997</v>
      </c>
      <c r="F197" s="27">
        <v>2015</v>
      </c>
      <c r="G197" s="29">
        <v>6.5</v>
      </c>
      <c r="H197" s="28">
        <f t="shared" si="9"/>
        <v>63.106796116504853</v>
      </c>
      <c r="I197" s="30">
        <f t="shared" si="10"/>
        <v>91.398058252427191</v>
      </c>
      <c r="J197" s="31">
        <v>1660</v>
      </c>
      <c r="K197" s="31">
        <v>648</v>
      </c>
      <c r="L197" s="31">
        <v>1694</v>
      </c>
      <c r="M197" s="32">
        <v>15.1</v>
      </c>
      <c r="N197" s="33">
        <f t="shared" si="11"/>
        <v>5.505907123640192E-2</v>
      </c>
    </row>
    <row r="198" spans="1:34" ht="17.100000000000001" customHeight="1" x14ac:dyDescent="0.3">
      <c r="A198" s="42" t="s">
        <v>296</v>
      </c>
      <c r="B198" s="17" t="s">
        <v>128</v>
      </c>
      <c r="C198" s="17" t="s">
        <v>297</v>
      </c>
      <c r="D198" s="43">
        <v>10.5</v>
      </c>
      <c r="E198" s="43">
        <v>9.6000003814697301</v>
      </c>
      <c r="F198" s="17">
        <v>2014</v>
      </c>
      <c r="G198" s="36">
        <v>6.4000000953674299</v>
      </c>
      <c r="H198" s="28">
        <f t="shared" si="9"/>
        <v>60.952381860642191</v>
      </c>
      <c r="I198" s="30">
        <f t="shared" si="10"/>
        <v>91.428575061616485</v>
      </c>
      <c r="J198" s="31">
        <v>1662</v>
      </c>
      <c r="K198" s="30">
        <v>648</v>
      </c>
      <c r="L198" s="30">
        <v>1700</v>
      </c>
      <c r="M198" s="41">
        <v>15.6</v>
      </c>
      <c r="N198" s="33">
        <f t="shared" si="11"/>
        <v>5.5011176330695841E-2</v>
      </c>
    </row>
    <row r="199" spans="1:34" ht="17.100000000000001" customHeight="1" x14ac:dyDescent="0.3">
      <c r="A199" s="27" t="s">
        <v>701</v>
      </c>
      <c r="B199" s="27" t="s">
        <v>128</v>
      </c>
      <c r="C199" s="26" t="s">
        <v>702</v>
      </c>
      <c r="D199" s="29">
        <v>37</v>
      </c>
      <c r="E199" s="29">
        <v>33.26</v>
      </c>
      <c r="F199" s="27">
        <v>2016</v>
      </c>
      <c r="G199" s="29">
        <v>25.9</v>
      </c>
      <c r="H199" s="28">
        <f t="shared" si="9"/>
        <v>70</v>
      </c>
      <c r="I199" s="30">
        <f t="shared" si="10"/>
        <v>89.891891891891888</v>
      </c>
      <c r="J199" s="31">
        <v>1636</v>
      </c>
      <c r="K199" s="31">
        <v>642</v>
      </c>
      <c r="L199" s="31">
        <v>1676</v>
      </c>
      <c r="M199" s="32">
        <v>15.1</v>
      </c>
      <c r="N199" s="33">
        <f t="shared" si="11"/>
        <v>5.4946144188197973E-2</v>
      </c>
    </row>
    <row r="200" spans="1:34" ht="17.100000000000001" customHeight="1" x14ac:dyDescent="0.3">
      <c r="A200" s="34" t="s">
        <v>111</v>
      </c>
      <c r="B200" s="16" t="s">
        <v>11</v>
      </c>
      <c r="C200" s="16" t="s">
        <v>112</v>
      </c>
      <c r="D200" s="35">
        <v>62.5</v>
      </c>
      <c r="E200" s="35">
        <v>50</v>
      </c>
      <c r="F200" s="16">
        <v>2017</v>
      </c>
      <c r="G200" s="36">
        <v>43</v>
      </c>
      <c r="H200" s="28">
        <f t="shared" si="9"/>
        <v>68.8</v>
      </c>
      <c r="I200" s="30">
        <f t="shared" si="10"/>
        <v>80</v>
      </c>
      <c r="J200" s="44">
        <v>1458</v>
      </c>
      <c r="K200" s="30">
        <v>692</v>
      </c>
      <c r="L200" s="30">
        <v>1283</v>
      </c>
      <c r="M200" s="32">
        <v>9.6999999999999993</v>
      </c>
      <c r="N200" s="33">
        <f t="shared" si="11"/>
        <v>5.4869684499314127E-2</v>
      </c>
    </row>
    <row r="201" spans="1:34" ht="17.100000000000001" customHeight="1" x14ac:dyDescent="0.3">
      <c r="A201" s="27" t="s">
        <v>789</v>
      </c>
      <c r="B201" s="27" t="s">
        <v>128</v>
      </c>
      <c r="C201" s="26" t="s">
        <v>790</v>
      </c>
      <c r="D201" s="29">
        <v>10</v>
      </c>
      <c r="E201" s="29">
        <v>9.2334999999999994</v>
      </c>
      <c r="F201" s="27">
        <v>2015</v>
      </c>
      <c r="G201" s="29">
        <v>6.4987000000000004</v>
      </c>
      <c r="H201" s="28">
        <f t="shared" si="9"/>
        <v>64.986999999999995</v>
      </c>
      <c r="I201" s="30">
        <f t="shared" si="10"/>
        <v>92.334999999999994</v>
      </c>
      <c r="J201" s="31">
        <v>1683</v>
      </c>
      <c r="K201" s="31">
        <v>658</v>
      </c>
      <c r="L201" s="31">
        <v>1707</v>
      </c>
      <c r="M201" s="32">
        <v>16.2</v>
      </c>
      <c r="N201" s="33">
        <f t="shared" si="11"/>
        <v>5.4863339275103978E-2</v>
      </c>
    </row>
    <row r="202" spans="1:34" ht="17.100000000000001" customHeight="1" x14ac:dyDescent="0.3">
      <c r="A202" s="27" t="s">
        <v>835</v>
      </c>
      <c r="B202" s="27" t="s">
        <v>128</v>
      </c>
      <c r="C202" s="26" t="s">
        <v>836</v>
      </c>
      <c r="D202" s="29">
        <v>10.5</v>
      </c>
      <c r="E202" s="29">
        <v>9.5030000000000001</v>
      </c>
      <c r="F202" s="27">
        <v>2015</v>
      </c>
      <c r="G202" s="29">
        <v>6.5</v>
      </c>
      <c r="H202" s="28">
        <f t="shared" si="9"/>
        <v>61.904761904761905</v>
      </c>
      <c r="I202" s="30">
        <f t="shared" si="10"/>
        <v>90.504761904761907</v>
      </c>
      <c r="J202" s="31">
        <v>1650</v>
      </c>
      <c r="K202" s="31">
        <v>650</v>
      </c>
      <c r="L202" s="31">
        <v>1677</v>
      </c>
      <c r="M202" s="32">
        <v>15.5</v>
      </c>
      <c r="N202" s="33">
        <f t="shared" si="11"/>
        <v>5.4851370851370852E-2</v>
      </c>
    </row>
    <row r="203" spans="1:34" ht="17.100000000000001" customHeight="1" x14ac:dyDescent="0.3">
      <c r="A203" s="27" t="s">
        <v>733</v>
      </c>
      <c r="B203" s="27" t="s">
        <v>128</v>
      </c>
      <c r="C203" s="26" t="s">
        <v>734</v>
      </c>
      <c r="D203" s="29">
        <v>33</v>
      </c>
      <c r="E203" s="29">
        <v>39.524000000000001</v>
      </c>
      <c r="F203" s="27">
        <v>2016</v>
      </c>
      <c r="G203" s="29">
        <v>22.5</v>
      </c>
      <c r="H203" s="28">
        <f t="shared" si="9"/>
        <v>68.181818181818187</v>
      </c>
      <c r="I203" s="30">
        <f t="shared" si="10"/>
        <v>119.76969696969697</v>
      </c>
      <c r="J203" s="31">
        <v>2185</v>
      </c>
      <c r="K203" s="31">
        <v>421</v>
      </c>
      <c r="L203" s="31">
        <v>2963</v>
      </c>
      <c r="M203" s="32">
        <v>16.3</v>
      </c>
      <c r="N203" s="33">
        <f t="shared" si="11"/>
        <v>5.4814506622286943E-2</v>
      </c>
    </row>
    <row r="204" spans="1:34" ht="17.100000000000001" customHeight="1" x14ac:dyDescent="0.3">
      <c r="A204" s="34" t="s">
        <v>103</v>
      </c>
      <c r="B204" s="16" t="s">
        <v>21</v>
      </c>
      <c r="C204" s="16" t="s">
        <v>104</v>
      </c>
      <c r="D204" s="35">
        <v>11.5</v>
      </c>
      <c r="E204" s="35">
        <v>10.95</v>
      </c>
      <c r="F204" s="16">
        <v>2015</v>
      </c>
      <c r="G204" s="36">
        <v>6</v>
      </c>
      <c r="H204" s="28">
        <f t="shared" si="9"/>
        <v>52.173913043478258</v>
      </c>
      <c r="I204" s="30">
        <f t="shared" si="10"/>
        <v>95.217391304347828</v>
      </c>
      <c r="J204" s="44">
        <v>1739</v>
      </c>
      <c r="K204" s="30">
        <v>580</v>
      </c>
      <c r="L204" s="30">
        <v>1929</v>
      </c>
      <c r="M204" s="32">
        <v>10.7</v>
      </c>
      <c r="N204" s="33">
        <f t="shared" si="11"/>
        <v>5.4754106557991851E-2</v>
      </c>
    </row>
    <row r="205" spans="1:34" ht="17.100000000000001" customHeight="1" x14ac:dyDescent="0.3">
      <c r="A205" s="27" t="s">
        <v>817</v>
      </c>
      <c r="B205" s="27" t="s">
        <v>128</v>
      </c>
      <c r="C205" s="26" t="s">
        <v>818</v>
      </c>
      <c r="D205" s="29">
        <v>22.3</v>
      </c>
      <c r="E205" s="29">
        <v>20.69</v>
      </c>
      <c r="F205" s="27">
        <v>2016</v>
      </c>
      <c r="G205" s="29">
        <v>14.03</v>
      </c>
      <c r="H205" s="28">
        <f t="shared" si="9"/>
        <v>62.914798206278029</v>
      </c>
      <c r="I205" s="30">
        <f t="shared" si="10"/>
        <v>92.780269058295957</v>
      </c>
      <c r="J205" s="31">
        <v>1696</v>
      </c>
      <c r="K205" s="31">
        <v>658</v>
      </c>
      <c r="L205" s="31">
        <v>1721</v>
      </c>
      <c r="M205" s="32">
        <v>16.600000000000001</v>
      </c>
      <c r="N205" s="33">
        <f t="shared" si="11"/>
        <v>5.4705347322108466E-2</v>
      </c>
    </row>
    <row r="206" spans="1:34" ht="17.100000000000001" customHeight="1" x14ac:dyDescent="0.3">
      <c r="A206" s="34" t="s">
        <v>105</v>
      </c>
      <c r="B206" s="16" t="s">
        <v>3</v>
      </c>
      <c r="C206" s="16" t="s">
        <v>106</v>
      </c>
      <c r="D206" s="35">
        <v>70.7</v>
      </c>
      <c r="E206" s="35">
        <v>94</v>
      </c>
      <c r="F206" s="16">
        <v>2014</v>
      </c>
      <c r="G206" s="36">
        <v>40</v>
      </c>
      <c r="H206" s="28">
        <f t="shared" si="9"/>
        <v>56.577086280056577</v>
      </c>
      <c r="I206" s="30">
        <f t="shared" si="10"/>
        <v>132.95615275813296</v>
      </c>
      <c r="J206" s="44">
        <v>2431</v>
      </c>
      <c r="K206" s="30">
        <v>543</v>
      </c>
      <c r="L206" s="30">
        <v>2917</v>
      </c>
      <c r="M206" s="32">
        <v>18.5</v>
      </c>
      <c r="N206" s="33">
        <f t="shared" si="11"/>
        <v>5.4691959176525279E-2</v>
      </c>
    </row>
    <row r="207" spans="1:34" ht="17.100000000000001" customHeight="1" x14ac:dyDescent="0.3">
      <c r="A207" s="27" t="s">
        <v>978</v>
      </c>
      <c r="B207" s="27" t="s">
        <v>128</v>
      </c>
      <c r="C207" s="26" t="s">
        <v>979</v>
      </c>
      <c r="D207" s="29">
        <v>35.6</v>
      </c>
      <c r="E207" s="29">
        <v>40.395499999999998</v>
      </c>
      <c r="F207" s="27">
        <v>2015</v>
      </c>
      <c r="G207" s="29">
        <v>19</v>
      </c>
      <c r="H207" s="28">
        <f t="shared" si="9"/>
        <v>53.370786516853933</v>
      </c>
      <c r="I207" s="30">
        <f t="shared" si="10"/>
        <v>113.47050561797752</v>
      </c>
      <c r="J207" s="31">
        <v>2081</v>
      </c>
      <c r="K207" s="31">
        <v>474</v>
      </c>
      <c r="L207" s="31">
        <v>2707</v>
      </c>
      <c r="M207" s="32">
        <v>19</v>
      </c>
      <c r="N207" s="33">
        <f t="shared" si="11"/>
        <v>5.4526912839008901E-2</v>
      </c>
      <c r="O207" s="9"/>
      <c r="Q207" s="4"/>
      <c r="S207" s="8"/>
      <c r="T207" s="8"/>
      <c r="U207" s="8"/>
      <c r="V207" s="4"/>
      <c r="W207" s="8"/>
      <c r="X207" s="8"/>
      <c r="Y207" s="8"/>
      <c r="Z207" s="8"/>
      <c r="AA207" s="8"/>
      <c r="AB207" s="4"/>
      <c r="AC207" s="8"/>
      <c r="AD207" s="8"/>
      <c r="AE207" s="8"/>
      <c r="AF207" s="8"/>
      <c r="AG207" s="8"/>
      <c r="AH207" s="4"/>
    </row>
    <row r="208" spans="1:34" ht="17.100000000000001" customHeight="1" x14ac:dyDescent="0.3">
      <c r="A208" s="34" t="s">
        <v>107</v>
      </c>
      <c r="B208" s="16" t="s">
        <v>11</v>
      </c>
      <c r="C208" s="16" t="s">
        <v>108</v>
      </c>
      <c r="D208" s="35">
        <v>157.30000000000001</v>
      </c>
      <c r="E208" s="35">
        <v>108.014</v>
      </c>
      <c r="F208" s="16">
        <v>2015</v>
      </c>
      <c r="G208" s="36">
        <v>111</v>
      </c>
      <c r="H208" s="28">
        <f t="shared" si="9"/>
        <v>70.565797838525114</v>
      </c>
      <c r="I208" s="30">
        <f t="shared" si="10"/>
        <v>68.667514303877937</v>
      </c>
      <c r="J208" s="44">
        <v>1263</v>
      </c>
      <c r="K208" s="30">
        <v>644</v>
      </c>
      <c r="L208" s="30">
        <v>1138</v>
      </c>
      <c r="M208" s="32">
        <v>7.6</v>
      </c>
      <c r="N208" s="33">
        <f t="shared" si="11"/>
        <v>5.4368578229515387E-2</v>
      </c>
    </row>
    <row r="209" spans="1:34" ht="17.100000000000001" customHeight="1" x14ac:dyDescent="0.3">
      <c r="A209" s="27" t="s">
        <v>655</v>
      </c>
      <c r="B209" s="27" t="s">
        <v>128</v>
      </c>
      <c r="C209" s="26" t="s">
        <v>656</v>
      </c>
      <c r="D209" s="29">
        <v>8.4</v>
      </c>
      <c r="E209" s="29">
        <v>9.5389999999999997</v>
      </c>
      <c r="F209" s="27">
        <v>2014</v>
      </c>
      <c r="G209" s="29">
        <v>6.2</v>
      </c>
      <c r="H209" s="28">
        <f t="shared" si="9"/>
        <v>73.80952380952381</v>
      </c>
      <c r="I209" s="30">
        <f t="shared" si="10"/>
        <v>113.55952380952381</v>
      </c>
      <c r="J209" s="31">
        <v>2091</v>
      </c>
      <c r="K209" s="31">
        <v>466</v>
      </c>
      <c r="L209" s="31">
        <v>2764</v>
      </c>
      <c r="M209" s="32">
        <v>18.5</v>
      </c>
      <c r="N209" s="33">
        <f t="shared" si="11"/>
        <v>5.4308715356061125E-2</v>
      </c>
    </row>
    <row r="210" spans="1:34" ht="17.100000000000001" customHeight="1" x14ac:dyDescent="0.3">
      <c r="A210" s="27" t="s">
        <v>761</v>
      </c>
      <c r="B210" s="27" t="s">
        <v>128</v>
      </c>
      <c r="C210" s="26" t="s">
        <v>762</v>
      </c>
      <c r="D210" s="29">
        <v>10.5</v>
      </c>
      <c r="E210" s="29">
        <v>9.4570000000000007</v>
      </c>
      <c r="F210" s="27">
        <v>2017</v>
      </c>
      <c r="G210" s="29">
        <v>7</v>
      </c>
      <c r="H210" s="28">
        <f t="shared" si="9"/>
        <v>66.666666666666671</v>
      </c>
      <c r="I210" s="30">
        <f t="shared" si="10"/>
        <v>90.066666666666663</v>
      </c>
      <c r="J210" s="31">
        <v>1659</v>
      </c>
      <c r="K210" s="31">
        <v>658</v>
      </c>
      <c r="L210" s="31">
        <v>1677</v>
      </c>
      <c r="M210" s="32">
        <v>16.600000000000001</v>
      </c>
      <c r="N210" s="33">
        <f t="shared" si="11"/>
        <v>5.4289732770745426E-2</v>
      </c>
    </row>
    <row r="211" spans="1:34" ht="17.100000000000001" customHeight="1" x14ac:dyDescent="0.3">
      <c r="A211" s="27" t="s">
        <v>882</v>
      </c>
      <c r="B211" s="27" t="s">
        <v>22</v>
      </c>
      <c r="C211" s="26" t="s">
        <v>883</v>
      </c>
      <c r="D211" s="29">
        <v>17.899999999999999</v>
      </c>
      <c r="E211" s="29">
        <v>10.3</v>
      </c>
      <c r="F211" s="27">
        <v>2014</v>
      </c>
      <c r="G211" s="29">
        <v>10.6</v>
      </c>
      <c r="H211" s="28">
        <f t="shared" si="9"/>
        <v>59.217877094972067</v>
      </c>
      <c r="I211" s="30">
        <f t="shared" si="10"/>
        <v>57.541899441340782</v>
      </c>
      <c r="J211" s="31">
        <v>1060</v>
      </c>
      <c r="K211" s="31">
        <v>587</v>
      </c>
      <c r="L211" s="31">
        <v>891</v>
      </c>
      <c r="M211" s="32">
        <v>10.7</v>
      </c>
      <c r="N211" s="33">
        <f t="shared" si="11"/>
        <v>5.4284810793717719E-2</v>
      </c>
    </row>
    <row r="212" spans="1:34" ht="17.100000000000001" customHeight="1" x14ac:dyDescent="0.3">
      <c r="A212" s="27" t="s">
        <v>952</v>
      </c>
      <c r="B212" s="27" t="s">
        <v>0</v>
      </c>
      <c r="C212" s="26" t="s">
        <v>953</v>
      </c>
      <c r="D212" s="29">
        <v>232.2</v>
      </c>
      <c r="E212" s="29">
        <v>220</v>
      </c>
      <c r="F212" s="27">
        <v>2019</v>
      </c>
      <c r="G212" s="29">
        <v>127</v>
      </c>
      <c r="H212" s="28">
        <f t="shared" si="9"/>
        <v>54.694229112833767</v>
      </c>
      <c r="I212" s="30">
        <f t="shared" si="10"/>
        <v>94.745908699397077</v>
      </c>
      <c r="J212" s="31">
        <v>1746</v>
      </c>
      <c r="K212" s="31">
        <v>584</v>
      </c>
      <c r="L212" s="31">
        <v>1970</v>
      </c>
      <c r="M212" s="32">
        <v>16.2</v>
      </c>
      <c r="N212" s="33">
        <f t="shared" si="11"/>
        <v>5.4264552519700505E-2</v>
      </c>
    </row>
    <row r="213" spans="1:34" ht="17.100000000000001" customHeight="1" x14ac:dyDescent="0.3">
      <c r="A213" s="34" t="s">
        <v>109</v>
      </c>
      <c r="B213" s="16" t="s">
        <v>6</v>
      </c>
      <c r="C213" s="16" t="s">
        <v>110</v>
      </c>
      <c r="D213" s="35">
        <v>23.9</v>
      </c>
      <c r="E213" s="35">
        <v>16.8</v>
      </c>
      <c r="F213" s="16">
        <v>2014</v>
      </c>
      <c r="G213" s="36">
        <v>12</v>
      </c>
      <c r="H213" s="28">
        <f t="shared" si="9"/>
        <v>50.2092050209205</v>
      </c>
      <c r="I213" s="30">
        <f t="shared" si="10"/>
        <v>70.292887029288707</v>
      </c>
      <c r="J213" s="44">
        <v>1297</v>
      </c>
      <c r="K213" s="30">
        <v>628</v>
      </c>
      <c r="L213" s="30">
        <v>1182</v>
      </c>
      <c r="M213" s="32">
        <v>13.6</v>
      </c>
      <c r="N213" s="33">
        <f t="shared" si="11"/>
        <v>5.4196520454347502E-2</v>
      </c>
    </row>
    <row r="214" spans="1:34" ht="17.100000000000001" customHeight="1" x14ac:dyDescent="0.3">
      <c r="A214" s="42" t="s">
        <v>330</v>
      </c>
      <c r="B214" s="17" t="s">
        <v>128</v>
      </c>
      <c r="C214" s="17" t="s">
        <v>331</v>
      </c>
      <c r="D214" s="43">
        <v>6.8000001907348597</v>
      </c>
      <c r="E214" s="43">
        <v>6</v>
      </c>
      <c r="F214" s="17">
        <v>2014</v>
      </c>
      <c r="G214" s="36">
        <v>4</v>
      </c>
      <c r="H214" s="28">
        <f t="shared" si="9"/>
        <v>58.82352776180921</v>
      </c>
      <c r="I214" s="30">
        <f t="shared" si="10"/>
        <v>88.235291642713818</v>
      </c>
      <c r="J214" s="31">
        <v>1629</v>
      </c>
      <c r="K214" s="30">
        <v>634</v>
      </c>
      <c r="L214" s="30">
        <v>1687</v>
      </c>
      <c r="M214" s="41">
        <v>14.4</v>
      </c>
      <c r="N214" s="33">
        <f t="shared" si="11"/>
        <v>5.4165311014557287E-2</v>
      </c>
    </row>
    <row r="215" spans="1:34" ht="17.100000000000001" customHeight="1" x14ac:dyDescent="0.3">
      <c r="A215" s="42" t="s">
        <v>324</v>
      </c>
      <c r="B215" s="17" t="s">
        <v>128</v>
      </c>
      <c r="C215" s="17" t="s">
        <v>325</v>
      </c>
      <c r="D215" s="43">
        <v>35.599998474121101</v>
      </c>
      <c r="E215" s="43">
        <v>31.5629997253418</v>
      </c>
      <c r="F215" s="17">
        <v>2014</v>
      </c>
      <c r="G215" s="36">
        <v>20</v>
      </c>
      <c r="H215" s="28">
        <f t="shared" si="9"/>
        <v>56.17977768886341</v>
      </c>
      <c r="I215" s="30">
        <f t="shared" si="10"/>
        <v>88.660115388167966</v>
      </c>
      <c r="J215" s="31">
        <v>1639</v>
      </c>
      <c r="K215" s="30">
        <v>648</v>
      </c>
      <c r="L215" s="30">
        <v>1640</v>
      </c>
      <c r="M215" s="41">
        <v>15.5</v>
      </c>
      <c r="N215" s="33">
        <f t="shared" si="11"/>
        <v>5.4094030133110413E-2</v>
      </c>
    </row>
    <row r="216" spans="1:34" ht="17.100000000000001" customHeight="1" x14ac:dyDescent="0.3">
      <c r="A216" s="27" t="s">
        <v>926</v>
      </c>
      <c r="B216" s="27" t="s">
        <v>128</v>
      </c>
      <c r="C216" s="26" t="s">
        <v>927</v>
      </c>
      <c r="D216" s="29">
        <v>11.5</v>
      </c>
      <c r="E216" s="29">
        <v>10.272</v>
      </c>
      <c r="F216" s="27">
        <v>2015</v>
      </c>
      <c r="G216" s="29">
        <v>6.5</v>
      </c>
      <c r="H216" s="28">
        <f t="shared" si="9"/>
        <v>56.521739130434781</v>
      </c>
      <c r="I216" s="30">
        <f t="shared" si="10"/>
        <v>89.321739130434779</v>
      </c>
      <c r="J216" s="31">
        <v>1655</v>
      </c>
      <c r="K216" s="31">
        <v>659</v>
      </c>
      <c r="L216" s="31">
        <v>1665</v>
      </c>
      <c r="M216" s="32">
        <v>16</v>
      </c>
      <c r="N216" s="33">
        <f t="shared" si="11"/>
        <v>5.3970839353737025E-2</v>
      </c>
    </row>
    <row r="217" spans="1:34" ht="17.100000000000001" customHeight="1" x14ac:dyDescent="0.3">
      <c r="A217" s="27" t="s">
        <v>815</v>
      </c>
      <c r="B217" s="27" t="s">
        <v>128</v>
      </c>
      <c r="C217" s="26" t="s">
        <v>816</v>
      </c>
      <c r="D217" s="29">
        <v>10</v>
      </c>
      <c r="E217" s="29">
        <v>8.8034999999999997</v>
      </c>
      <c r="F217" s="27">
        <v>2014</v>
      </c>
      <c r="G217" s="29">
        <v>6.3</v>
      </c>
      <c r="H217" s="28">
        <f t="shared" si="9"/>
        <v>63</v>
      </c>
      <c r="I217" s="30">
        <f t="shared" si="10"/>
        <v>88.034999999999997</v>
      </c>
      <c r="J217" s="31">
        <v>1633</v>
      </c>
      <c r="K217" s="31">
        <v>648</v>
      </c>
      <c r="L217" s="31">
        <v>1659</v>
      </c>
      <c r="M217" s="32">
        <v>15.4</v>
      </c>
      <c r="N217" s="33">
        <f t="shared" si="11"/>
        <v>5.3909981628903855E-2</v>
      </c>
    </row>
    <row r="218" spans="1:34" ht="17.100000000000001" customHeight="1" x14ac:dyDescent="0.3">
      <c r="A218" s="42" t="s">
        <v>452</v>
      </c>
      <c r="B218" s="17" t="s">
        <v>6</v>
      </c>
      <c r="C218" s="17" t="s">
        <v>453</v>
      </c>
      <c r="D218" s="43">
        <v>16.299999237060501</v>
      </c>
      <c r="E218" s="43">
        <v>11.956000328064</v>
      </c>
      <c r="F218" s="17">
        <v>2015</v>
      </c>
      <c r="G218" s="36">
        <v>10</v>
      </c>
      <c r="H218" s="28">
        <f t="shared" si="9"/>
        <v>61.349696123074018</v>
      </c>
      <c r="I218" s="30">
        <f t="shared" si="10"/>
        <v>73.349698697409963</v>
      </c>
      <c r="J218" s="31">
        <v>1361</v>
      </c>
      <c r="K218" s="30">
        <v>563</v>
      </c>
      <c r="L218" s="30">
        <v>1451</v>
      </c>
      <c r="M218" s="41">
        <v>8.9</v>
      </c>
      <c r="N218" s="33">
        <f t="shared" si="11"/>
        <v>5.3893974061285793E-2</v>
      </c>
    </row>
    <row r="219" spans="1:34" x14ac:dyDescent="0.3">
      <c r="A219" s="42" t="s">
        <v>402</v>
      </c>
      <c r="B219" s="17" t="s">
        <v>11</v>
      </c>
      <c r="C219" s="17" t="s">
        <v>403</v>
      </c>
      <c r="D219" s="43">
        <v>16.5</v>
      </c>
      <c r="E219" s="43">
        <v>13</v>
      </c>
      <c r="F219" s="17">
        <v>2015</v>
      </c>
      <c r="G219" s="36">
        <v>11.7200002670288</v>
      </c>
      <c r="H219" s="28">
        <f t="shared" si="9"/>
        <v>71.030304648659396</v>
      </c>
      <c r="I219" s="30">
        <f t="shared" si="10"/>
        <v>78.787878787878782</v>
      </c>
      <c r="J219" s="31">
        <v>1464</v>
      </c>
      <c r="K219" s="30">
        <v>716</v>
      </c>
      <c r="L219" s="30">
        <v>1181</v>
      </c>
      <c r="M219" s="41">
        <v>16.100000000000001</v>
      </c>
      <c r="N219" s="33">
        <f t="shared" si="11"/>
        <v>5.3816857095545616E-2</v>
      </c>
    </row>
    <row r="220" spans="1:34" x14ac:dyDescent="0.3">
      <c r="A220" s="42" t="s">
        <v>491</v>
      </c>
      <c r="B220" s="17" t="s">
        <v>7</v>
      </c>
      <c r="C220" s="17" t="s">
        <v>492</v>
      </c>
      <c r="D220" s="43">
        <v>7.5</v>
      </c>
      <c r="E220" s="43">
        <v>4.5383014678955096</v>
      </c>
      <c r="F220" s="17">
        <v>2014</v>
      </c>
      <c r="G220" s="36">
        <v>4.9000000953674299</v>
      </c>
      <c r="H220" s="28">
        <f t="shared" si="9"/>
        <v>65.333334604899065</v>
      </c>
      <c r="I220" s="30">
        <f t="shared" si="10"/>
        <v>60.510686238606795</v>
      </c>
      <c r="J220" s="31">
        <v>1125</v>
      </c>
      <c r="K220" s="30">
        <v>575</v>
      </c>
      <c r="L220" s="30">
        <v>1004</v>
      </c>
      <c r="M220" s="41">
        <v>9.1999999999999993</v>
      </c>
      <c r="N220" s="33">
        <f t="shared" si="11"/>
        <v>5.3787276656539373E-2</v>
      </c>
    </row>
    <row r="221" spans="1:34" x14ac:dyDescent="0.3">
      <c r="A221" s="27" t="s">
        <v>1020</v>
      </c>
      <c r="B221" s="27" t="s">
        <v>128</v>
      </c>
      <c r="C221" s="26" t="s">
        <v>1021</v>
      </c>
      <c r="D221" s="29">
        <v>263</v>
      </c>
      <c r="E221" s="29">
        <v>280.50459999999998</v>
      </c>
      <c r="F221" s="27">
        <v>2015</v>
      </c>
      <c r="G221" s="29">
        <v>135</v>
      </c>
      <c r="H221" s="28">
        <f t="shared" si="9"/>
        <v>51.330798479087456</v>
      </c>
      <c r="I221" s="30">
        <f t="shared" si="10"/>
        <v>106.65574144486692</v>
      </c>
      <c r="J221" s="31">
        <v>1984</v>
      </c>
      <c r="K221" s="31">
        <v>474</v>
      </c>
      <c r="L221" s="31">
        <v>2518</v>
      </c>
      <c r="M221" s="32">
        <v>16.899999999999999</v>
      </c>
      <c r="N221" s="33">
        <f t="shared" si="11"/>
        <v>5.3757934196001472E-2</v>
      </c>
    </row>
    <row r="222" spans="1:34" x14ac:dyDescent="0.3">
      <c r="A222" s="34" t="s">
        <v>113</v>
      </c>
      <c r="B222" s="16" t="s">
        <v>6</v>
      </c>
      <c r="C222" s="16" t="s">
        <v>114</v>
      </c>
      <c r="D222" s="35">
        <v>23.4</v>
      </c>
      <c r="E222" s="35">
        <v>19.964860000000002</v>
      </c>
      <c r="F222" s="16">
        <v>2014</v>
      </c>
      <c r="G222" s="36">
        <v>12.0952</v>
      </c>
      <c r="H222" s="28">
        <f t="shared" si="9"/>
        <v>51.68888888888889</v>
      </c>
      <c r="I222" s="30">
        <f t="shared" si="10"/>
        <v>85.319914529914527</v>
      </c>
      <c r="J222" s="44">
        <v>1588</v>
      </c>
      <c r="K222" s="30">
        <v>563</v>
      </c>
      <c r="L222" s="30">
        <v>1819</v>
      </c>
      <c r="M222" s="32">
        <v>14.1</v>
      </c>
      <c r="N222" s="33">
        <f t="shared" si="11"/>
        <v>5.3727905875261037E-2</v>
      </c>
      <c r="O222" s="9"/>
      <c r="Q222" s="4"/>
      <c r="S222" s="8"/>
      <c r="T222" s="8"/>
      <c r="U222" s="8"/>
      <c r="V222" s="4"/>
      <c r="W222" s="8"/>
      <c r="X222" s="8"/>
      <c r="Y222" s="8"/>
      <c r="Z222" s="8"/>
      <c r="AA222" s="8"/>
      <c r="AB222" s="4"/>
      <c r="AC222" s="8"/>
      <c r="AD222" s="8"/>
      <c r="AE222" s="8"/>
      <c r="AF222" s="8"/>
      <c r="AG222" s="8"/>
      <c r="AH222" s="4"/>
    </row>
    <row r="223" spans="1:34" x14ac:dyDescent="0.3">
      <c r="A223" s="42" t="s">
        <v>338</v>
      </c>
      <c r="B223" s="17" t="s">
        <v>6</v>
      </c>
      <c r="C223" s="17" t="s">
        <v>339</v>
      </c>
      <c r="D223" s="43">
        <v>19.799999237060501</v>
      </c>
      <c r="E223" s="43">
        <v>17</v>
      </c>
      <c r="F223" s="17">
        <v>2014</v>
      </c>
      <c r="G223" s="36">
        <v>11</v>
      </c>
      <c r="H223" s="28">
        <f t="shared" si="9"/>
        <v>55.555557696238857</v>
      </c>
      <c r="I223" s="30">
        <f t="shared" si="10"/>
        <v>85.858589166914598</v>
      </c>
      <c r="J223" s="31">
        <v>1603</v>
      </c>
      <c r="K223" s="30">
        <v>548</v>
      </c>
      <c r="L223" s="30">
        <v>1901</v>
      </c>
      <c r="M223" s="31">
        <v>12.9</v>
      </c>
      <c r="N223" s="33">
        <f t="shared" si="11"/>
        <v>5.3561190996203739E-2</v>
      </c>
    </row>
    <row r="224" spans="1:34" x14ac:dyDescent="0.3">
      <c r="A224" s="42" t="s">
        <v>298</v>
      </c>
      <c r="B224" s="17" t="s">
        <v>128</v>
      </c>
      <c r="C224" s="17" t="s">
        <v>299</v>
      </c>
      <c r="D224" s="43">
        <v>8.8000001907348597</v>
      </c>
      <c r="E224" s="43">
        <v>7.8000001907348597</v>
      </c>
      <c r="F224" s="17">
        <v>2014</v>
      </c>
      <c r="G224" s="36">
        <v>5.1999998092651403</v>
      </c>
      <c r="H224" s="28">
        <f t="shared" si="9"/>
        <v>59.090905642706637</v>
      </c>
      <c r="I224" s="30">
        <f t="shared" si="10"/>
        <v>88.636363882663801</v>
      </c>
      <c r="J224" s="31">
        <v>1660</v>
      </c>
      <c r="K224" s="30">
        <v>646</v>
      </c>
      <c r="L224" s="30">
        <v>1697</v>
      </c>
      <c r="M224" s="41">
        <v>15.6</v>
      </c>
      <c r="N224" s="33">
        <f t="shared" si="11"/>
        <v>5.3395399929315544E-2</v>
      </c>
      <c r="O224" s="5"/>
    </row>
    <row r="225" spans="1:34" x14ac:dyDescent="0.3">
      <c r="A225" s="42" t="s">
        <v>444</v>
      </c>
      <c r="B225" s="17" t="s">
        <v>6</v>
      </c>
      <c r="C225" s="17" t="s">
        <v>445</v>
      </c>
      <c r="D225" s="43">
        <v>13.3999996185303</v>
      </c>
      <c r="E225" s="43">
        <v>9.8000001907348597</v>
      </c>
      <c r="F225" s="17">
        <v>2015</v>
      </c>
      <c r="G225" s="36">
        <v>8.5</v>
      </c>
      <c r="H225" s="28">
        <f t="shared" si="9"/>
        <v>63.432837626694443</v>
      </c>
      <c r="I225" s="30">
        <f t="shared" si="10"/>
        <v>73.134331863583398</v>
      </c>
      <c r="J225" s="31">
        <v>1372</v>
      </c>
      <c r="K225" s="30">
        <v>611</v>
      </c>
      <c r="L225" s="30">
        <v>1324</v>
      </c>
      <c r="M225" s="41">
        <v>13.2</v>
      </c>
      <c r="N225" s="33">
        <f t="shared" si="11"/>
        <v>5.3304906606110349E-2</v>
      </c>
      <c r="O225" s="54"/>
      <c r="P225" s="54"/>
      <c r="Q225" s="54"/>
      <c r="S225" s="54"/>
      <c r="T225" s="54"/>
      <c r="U225" s="54"/>
      <c r="V225" s="54"/>
      <c r="W225" s="54"/>
      <c r="X225" s="54"/>
      <c r="Y225" s="54"/>
      <c r="Z225" s="54"/>
      <c r="AA225" s="54"/>
      <c r="AB225" s="54"/>
      <c r="AC225" s="54"/>
      <c r="AD225" s="54"/>
      <c r="AE225" s="54"/>
      <c r="AF225" s="54"/>
      <c r="AG225" s="54"/>
      <c r="AH225" s="54"/>
    </row>
    <row r="226" spans="1:34" x14ac:dyDescent="0.3">
      <c r="A226" s="27" t="s">
        <v>799</v>
      </c>
      <c r="B226" s="27" t="s">
        <v>128</v>
      </c>
      <c r="C226" s="26" t="s">
        <v>800</v>
      </c>
      <c r="D226" s="29">
        <v>10.199999999999999</v>
      </c>
      <c r="E226" s="29">
        <v>9.0835000000000008</v>
      </c>
      <c r="F226" s="27">
        <v>2014</v>
      </c>
      <c r="G226" s="29">
        <v>6.5</v>
      </c>
      <c r="H226" s="28">
        <f t="shared" si="9"/>
        <v>63.725490196078432</v>
      </c>
      <c r="I226" s="30">
        <f t="shared" si="10"/>
        <v>89.053921568627445</v>
      </c>
      <c r="J226" s="31">
        <v>1671</v>
      </c>
      <c r="K226" s="31">
        <v>658</v>
      </c>
      <c r="L226" s="31">
        <v>1688</v>
      </c>
      <c r="M226" s="32">
        <v>16.2</v>
      </c>
      <c r="N226" s="33">
        <f t="shared" si="11"/>
        <v>5.3293789089543651E-2</v>
      </c>
    </row>
    <row r="227" spans="1:34" x14ac:dyDescent="0.3">
      <c r="A227" s="27" t="s">
        <v>878</v>
      </c>
      <c r="B227" s="27" t="s">
        <v>128</v>
      </c>
      <c r="C227" s="26" t="s">
        <v>879</v>
      </c>
      <c r="D227" s="29">
        <v>7.4</v>
      </c>
      <c r="E227" s="29">
        <v>5.6753330000000002</v>
      </c>
      <c r="F227" s="27">
        <v>2014</v>
      </c>
      <c r="G227" s="29">
        <v>4.4000000000000004</v>
      </c>
      <c r="H227" s="28">
        <f t="shared" si="9"/>
        <v>59.45945945945946</v>
      </c>
      <c r="I227" s="30">
        <f t="shared" si="10"/>
        <v>76.693689189189186</v>
      </c>
      <c r="J227" s="31">
        <v>1441</v>
      </c>
      <c r="K227" s="31">
        <v>571</v>
      </c>
      <c r="L227" s="31">
        <v>1571</v>
      </c>
      <c r="M227" s="32">
        <v>8.5</v>
      </c>
      <c r="N227" s="33">
        <f t="shared" si="11"/>
        <v>5.3222546279798187E-2</v>
      </c>
    </row>
    <row r="228" spans="1:34" x14ac:dyDescent="0.3">
      <c r="A228" s="42" t="s">
        <v>396</v>
      </c>
      <c r="B228" s="17" t="s">
        <v>11</v>
      </c>
      <c r="C228" s="17" t="s">
        <v>397</v>
      </c>
      <c r="D228" s="43">
        <v>20.5</v>
      </c>
      <c r="E228" s="43">
        <v>16.021020889282202</v>
      </c>
      <c r="F228" s="17">
        <v>2014</v>
      </c>
      <c r="G228" s="36">
        <v>13</v>
      </c>
      <c r="H228" s="28">
        <f t="shared" si="9"/>
        <v>63.414634146341463</v>
      </c>
      <c r="I228" s="30">
        <f t="shared" si="10"/>
        <v>78.151321411132699</v>
      </c>
      <c r="J228" s="31">
        <v>1469</v>
      </c>
      <c r="K228" s="30">
        <v>712</v>
      </c>
      <c r="L228" s="30">
        <v>1191</v>
      </c>
      <c r="M228" s="41">
        <v>15.6</v>
      </c>
      <c r="N228" s="33">
        <f t="shared" si="11"/>
        <v>5.3200354942908576E-2</v>
      </c>
    </row>
    <row r="229" spans="1:34" x14ac:dyDescent="0.3">
      <c r="A229" s="27" t="s">
        <v>757</v>
      </c>
      <c r="B229" s="27" t="s">
        <v>128</v>
      </c>
      <c r="C229" s="26" t="s">
        <v>758</v>
      </c>
      <c r="D229" s="29">
        <v>10.6</v>
      </c>
      <c r="E229" s="29">
        <v>9.1679999999999993</v>
      </c>
      <c r="F229" s="27">
        <v>2016</v>
      </c>
      <c r="G229" s="29">
        <v>7.0679999999999996</v>
      </c>
      <c r="H229" s="28">
        <f t="shared" si="9"/>
        <v>66.679245283018872</v>
      </c>
      <c r="I229" s="30">
        <f t="shared" si="10"/>
        <v>86.490566037735846</v>
      </c>
      <c r="J229" s="31">
        <v>1627</v>
      </c>
      <c r="K229" s="31">
        <v>636</v>
      </c>
      <c r="L229" s="31">
        <v>1677</v>
      </c>
      <c r="M229" s="32">
        <v>14</v>
      </c>
      <c r="N229" s="33">
        <f t="shared" si="11"/>
        <v>5.3159536593568438E-2</v>
      </c>
      <c r="O229" s="54"/>
      <c r="Q229" s="54"/>
      <c r="S229" s="54"/>
      <c r="T229" s="54"/>
      <c r="U229" s="54"/>
      <c r="V229" s="54"/>
      <c r="W229" s="54"/>
      <c r="X229" s="54"/>
      <c r="Y229" s="54"/>
      <c r="Z229" s="54"/>
      <c r="AA229" s="54"/>
      <c r="AB229" s="54"/>
      <c r="AC229" s="54"/>
      <c r="AD229" s="54"/>
      <c r="AE229" s="54"/>
      <c r="AF229" s="54"/>
      <c r="AG229" s="54"/>
      <c r="AH229" s="54"/>
    </row>
    <row r="230" spans="1:34" x14ac:dyDescent="0.3">
      <c r="A230" s="27" t="s">
        <v>807</v>
      </c>
      <c r="B230" s="27" t="s">
        <v>22</v>
      </c>
      <c r="C230" s="26" t="s">
        <v>808</v>
      </c>
      <c r="D230" s="29">
        <v>15.6</v>
      </c>
      <c r="E230" s="29">
        <v>8.8000000000000007</v>
      </c>
      <c r="F230" s="27">
        <v>2015</v>
      </c>
      <c r="G230" s="29">
        <v>9.86</v>
      </c>
      <c r="H230" s="28">
        <f t="shared" si="9"/>
        <v>63.205128205128204</v>
      </c>
      <c r="I230" s="30">
        <f t="shared" si="10"/>
        <v>56.410256410256409</v>
      </c>
      <c r="J230" s="31">
        <v>1064</v>
      </c>
      <c r="K230" s="31">
        <v>589</v>
      </c>
      <c r="L230" s="31">
        <v>888</v>
      </c>
      <c r="M230" s="32">
        <v>10.7</v>
      </c>
      <c r="N230" s="33">
        <f t="shared" si="11"/>
        <v>5.3017158280316175E-2</v>
      </c>
    </row>
    <row r="231" spans="1:34" x14ac:dyDescent="0.3">
      <c r="A231" s="27" t="s">
        <v>837</v>
      </c>
      <c r="B231" s="27" t="s">
        <v>128</v>
      </c>
      <c r="C231" s="26" t="s">
        <v>838</v>
      </c>
      <c r="D231" s="29">
        <v>21</v>
      </c>
      <c r="E231" s="29">
        <v>16.59</v>
      </c>
      <c r="F231" s="27">
        <v>2015</v>
      </c>
      <c r="G231" s="29">
        <v>12.93</v>
      </c>
      <c r="H231" s="28">
        <f t="shared" si="9"/>
        <v>61.571428571428569</v>
      </c>
      <c r="I231" s="30">
        <f t="shared" si="10"/>
        <v>79</v>
      </c>
      <c r="J231" s="31">
        <v>1492</v>
      </c>
      <c r="K231" s="31">
        <v>623</v>
      </c>
      <c r="L231" s="31">
        <v>1515</v>
      </c>
      <c r="M231" s="32">
        <v>11.8</v>
      </c>
      <c r="N231" s="33">
        <f t="shared" si="11"/>
        <v>5.2949061662198392E-2</v>
      </c>
      <c r="O231" s="54"/>
      <c r="Q231" s="54"/>
      <c r="S231" s="54"/>
      <c r="T231" s="54"/>
      <c r="U231" s="54"/>
      <c r="V231" s="54"/>
      <c r="W231" s="54"/>
      <c r="X231" s="54"/>
      <c r="Y231" s="54"/>
      <c r="Z231" s="54"/>
      <c r="AA231" s="54"/>
      <c r="AB231" s="54"/>
      <c r="AC231" s="54"/>
      <c r="AD231" s="54"/>
      <c r="AE231" s="54"/>
      <c r="AF231" s="54"/>
      <c r="AG231" s="54"/>
      <c r="AH231" s="54"/>
    </row>
    <row r="232" spans="1:34" x14ac:dyDescent="0.3">
      <c r="A232" s="27" t="s">
        <v>779</v>
      </c>
      <c r="B232" s="27" t="s">
        <v>128</v>
      </c>
      <c r="C232" s="26" t="s">
        <v>780</v>
      </c>
      <c r="D232" s="29">
        <v>10.199999999999999</v>
      </c>
      <c r="E232" s="29">
        <v>8.8753340000000005</v>
      </c>
      <c r="F232" s="27">
        <v>2015</v>
      </c>
      <c r="G232" s="29">
        <v>6.7</v>
      </c>
      <c r="H232" s="28">
        <f t="shared" si="9"/>
        <v>65.686274509803923</v>
      </c>
      <c r="I232" s="30">
        <f t="shared" si="10"/>
        <v>87.013078431372548</v>
      </c>
      <c r="J232" s="31">
        <v>1648</v>
      </c>
      <c r="K232" s="31">
        <v>647</v>
      </c>
      <c r="L232" s="31">
        <v>1678</v>
      </c>
      <c r="M232" s="32">
        <v>15</v>
      </c>
      <c r="N232" s="33">
        <f t="shared" si="11"/>
        <v>5.2799198077289167E-2</v>
      </c>
    </row>
    <row r="233" spans="1:34" x14ac:dyDescent="0.3">
      <c r="A233" s="27" t="s">
        <v>906</v>
      </c>
      <c r="B233" s="27" t="s">
        <v>128</v>
      </c>
      <c r="C233" s="26" t="s">
        <v>907</v>
      </c>
      <c r="D233" s="29">
        <v>9.4</v>
      </c>
      <c r="E233" s="29">
        <v>10</v>
      </c>
      <c r="F233" s="27">
        <v>2015</v>
      </c>
      <c r="G233" s="29">
        <v>5.4</v>
      </c>
      <c r="H233" s="28">
        <f t="shared" si="9"/>
        <v>57.446808510638299</v>
      </c>
      <c r="I233" s="30">
        <f t="shared" si="10"/>
        <v>106.38297872340425</v>
      </c>
      <c r="J233" s="31">
        <v>2015</v>
      </c>
      <c r="K233" s="31">
        <v>502</v>
      </c>
      <c r="L233" s="31">
        <v>2664</v>
      </c>
      <c r="M233" s="32">
        <v>21.7</v>
      </c>
      <c r="N233" s="33">
        <f t="shared" si="11"/>
        <v>5.2795522939654713E-2</v>
      </c>
    </row>
    <row r="234" spans="1:34" x14ac:dyDescent="0.3">
      <c r="A234" s="27" t="s">
        <v>862</v>
      </c>
      <c r="B234" s="27" t="s">
        <v>128</v>
      </c>
      <c r="C234" s="26" t="s">
        <v>863</v>
      </c>
      <c r="D234" s="29">
        <v>10.8</v>
      </c>
      <c r="E234" s="29">
        <v>9.234</v>
      </c>
      <c r="F234" s="27">
        <v>2015</v>
      </c>
      <c r="G234" s="29">
        <v>6.5</v>
      </c>
      <c r="H234" s="28">
        <f t="shared" si="9"/>
        <v>60.185185185185183</v>
      </c>
      <c r="I234" s="30">
        <f t="shared" si="10"/>
        <v>85.5</v>
      </c>
      <c r="J234" s="31">
        <v>1620</v>
      </c>
      <c r="K234" s="31">
        <v>636</v>
      </c>
      <c r="L234" s="31">
        <v>1669</v>
      </c>
      <c r="M234" s="32">
        <v>14.1</v>
      </c>
      <c r="N234" s="33">
        <f t="shared" si="11"/>
        <v>5.2777777777777778E-2</v>
      </c>
    </row>
    <row r="235" spans="1:34" x14ac:dyDescent="0.3">
      <c r="A235" s="27" t="s">
        <v>988</v>
      </c>
      <c r="B235" s="27" t="s">
        <v>22</v>
      </c>
      <c r="C235" s="26" t="s">
        <v>989</v>
      </c>
      <c r="D235" s="29">
        <v>9.3000000000000007</v>
      </c>
      <c r="E235" s="29">
        <v>5.05</v>
      </c>
      <c r="F235" s="27">
        <v>2015</v>
      </c>
      <c r="G235" s="29">
        <v>4.9000000000000004</v>
      </c>
      <c r="H235" s="28">
        <f t="shared" si="9"/>
        <v>52.688172043010752</v>
      </c>
      <c r="I235" s="30">
        <f t="shared" si="10"/>
        <v>54.301075268817208</v>
      </c>
      <c r="J235" s="31">
        <v>1029</v>
      </c>
      <c r="K235" s="31">
        <v>581</v>
      </c>
      <c r="L235" s="31">
        <v>859</v>
      </c>
      <c r="M235" s="32">
        <v>10.199999999999999</v>
      </c>
      <c r="N235" s="33">
        <f t="shared" si="11"/>
        <v>5.277072426512848E-2</v>
      </c>
      <c r="O235" s="54"/>
      <c r="P235" s="54"/>
      <c r="Q235" s="54"/>
      <c r="S235" s="54"/>
      <c r="T235" s="54"/>
      <c r="U235" s="54"/>
      <c r="V235" s="54"/>
      <c r="W235" s="54"/>
      <c r="X235" s="54"/>
      <c r="Y235" s="54"/>
      <c r="Z235" s="54"/>
      <c r="AA235" s="54"/>
      <c r="AB235" s="54"/>
      <c r="AC235" s="54"/>
      <c r="AD235" s="54"/>
      <c r="AE235" s="54"/>
      <c r="AF235" s="54"/>
      <c r="AG235" s="54"/>
      <c r="AH235" s="54"/>
    </row>
    <row r="236" spans="1:34" x14ac:dyDescent="0.3">
      <c r="A236" s="34" t="s">
        <v>115</v>
      </c>
      <c r="B236" s="16" t="s">
        <v>0</v>
      </c>
      <c r="C236" s="16" t="s">
        <v>116</v>
      </c>
      <c r="D236" s="35">
        <v>277.5</v>
      </c>
      <c r="E236" s="35">
        <v>285</v>
      </c>
      <c r="F236" s="16">
        <v>2018</v>
      </c>
      <c r="G236" s="36">
        <v>137.69999999999999</v>
      </c>
      <c r="H236" s="28">
        <f t="shared" si="9"/>
        <v>49.621621621621621</v>
      </c>
      <c r="I236" s="30">
        <f t="shared" si="10"/>
        <v>102.70270270270271</v>
      </c>
      <c r="J236" s="44">
        <v>1949</v>
      </c>
      <c r="K236" s="30">
        <v>526</v>
      </c>
      <c r="L236" s="30">
        <v>2372</v>
      </c>
      <c r="M236" s="32">
        <v>19</v>
      </c>
      <c r="N236" s="33">
        <f t="shared" si="11"/>
        <v>5.2695075783839258E-2</v>
      </c>
      <c r="O236" s="54"/>
      <c r="P236" s="54"/>
      <c r="Q236" s="54"/>
      <c r="S236" s="54"/>
      <c r="T236" s="54"/>
      <c r="U236" s="54"/>
      <c r="V236" s="54"/>
      <c r="W236" s="54"/>
      <c r="X236" s="54"/>
      <c r="Y236" s="54"/>
      <c r="Z236" s="54"/>
      <c r="AA236" s="54"/>
      <c r="AB236" s="54"/>
      <c r="AC236" s="54"/>
      <c r="AD236" s="54"/>
      <c r="AE236" s="54"/>
      <c r="AF236" s="54"/>
      <c r="AG236" s="54"/>
      <c r="AH236" s="54"/>
    </row>
    <row r="237" spans="1:34" x14ac:dyDescent="0.3">
      <c r="A237" s="34" t="s">
        <v>117</v>
      </c>
      <c r="B237" s="16" t="s">
        <v>10</v>
      </c>
      <c r="C237" s="16" t="s">
        <v>118</v>
      </c>
      <c r="D237" s="35">
        <v>10.6</v>
      </c>
      <c r="E237" s="35">
        <v>11.5</v>
      </c>
      <c r="F237" s="16">
        <v>2014</v>
      </c>
      <c r="G237" s="36">
        <v>7.8</v>
      </c>
      <c r="H237" s="28">
        <f t="shared" si="9"/>
        <v>73.584905660377359</v>
      </c>
      <c r="I237" s="30">
        <f t="shared" si="10"/>
        <v>108.49056603773585</v>
      </c>
      <c r="J237" s="44">
        <v>2063</v>
      </c>
      <c r="K237" s="30">
        <v>650</v>
      </c>
      <c r="L237" s="30">
        <v>2225</v>
      </c>
      <c r="M237" s="32">
        <v>19.7</v>
      </c>
      <c r="N237" s="33">
        <f t="shared" si="11"/>
        <v>5.2588737778834632E-2</v>
      </c>
    </row>
    <row r="238" spans="1:34" x14ac:dyDescent="0.3">
      <c r="A238" s="34" t="s">
        <v>119</v>
      </c>
      <c r="B238" s="16" t="s">
        <v>21</v>
      </c>
      <c r="C238" s="16" t="s">
        <v>120</v>
      </c>
      <c r="D238" s="35">
        <v>16.8</v>
      </c>
      <c r="E238" s="35">
        <v>15.752000000000001</v>
      </c>
      <c r="F238" s="16">
        <v>2016</v>
      </c>
      <c r="G238" s="36">
        <v>9.1</v>
      </c>
      <c r="H238" s="28">
        <f t="shared" si="9"/>
        <v>54.166666666666664</v>
      </c>
      <c r="I238" s="30">
        <f t="shared" si="10"/>
        <v>93.761904761904759</v>
      </c>
      <c r="J238" s="44">
        <v>1783</v>
      </c>
      <c r="K238" s="30">
        <v>574</v>
      </c>
      <c r="L238" s="30">
        <v>1996</v>
      </c>
      <c r="M238" s="32">
        <v>11.6</v>
      </c>
      <c r="N238" s="33">
        <f t="shared" si="11"/>
        <v>5.2586598296076703E-2</v>
      </c>
    </row>
    <row r="239" spans="1:34" x14ac:dyDescent="0.3">
      <c r="A239" s="27" t="s">
        <v>884</v>
      </c>
      <c r="B239" s="27" t="s">
        <v>128</v>
      </c>
      <c r="C239" s="26" t="s">
        <v>885</v>
      </c>
      <c r="D239" s="29">
        <v>12.1</v>
      </c>
      <c r="E239" s="29">
        <v>9.7159999999999993</v>
      </c>
      <c r="F239" s="27">
        <v>2016</v>
      </c>
      <c r="G239" s="29">
        <v>7.15</v>
      </c>
      <c r="H239" s="28">
        <f t="shared" si="9"/>
        <v>59.090909090909093</v>
      </c>
      <c r="I239" s="30">
        <f t="shared" si="10"/>
        <v>80.297520661157023</v>
      </c>
      <c r="J239" s="31">
        <v>1528</v>
      </c>
      <c r="K239" s="31">
        <v>622</v>
      </c>
      <c r="L239" s="31">
        <v>1580</v>
      </c>
      <c r="M239" s="31">
        <v>12.5</v>
      </c>
      <c r="N239" s="33">
        <f t="shared" si="11"/>
        <v>5.2550733416987579E-2</v>
      </c>
    </row>
    <row r="240" spans="1:34" x14ac:dyDescent="0.3">
      <c r="A240" s="27" t="s">
        <v>946</v>
      </c>
      <c r="B240" s="27" t="s">
        <v>128</v>
      </c>
      <c r="C240" s="26" t="s">
        <v>947</v>
      </c>
      <c r="D240" s="29">
        <v>11.8</v>
      </c>
      <c r="E240" s="29">
        <v>10.141500000000001</v>
      </c>
      <c r="F240" s="27">
        <v>2015</v>
      </c>
      <c r="G240" s="29">
        <v>6.5</v>
      </c>
      <c r="H240" s="28">
        <f t="shared" si="9"/>
        <v>55.084745762711862</v>
      </c>
      <c r="I240" s="30">
        <f t="shared" si="10"/>
        <v>85.944915254237287</v>
      </c>
      <c r="J240" s="31">
        <v>1640</v>
      </c>
      <c r="K240" s="31">
        <v>656</v>
      </c>
      <c r="L240" s="31">
        <v>1657</v>
      </c>
      <c r="M240" s="32">
        <v>15.3</v>
      </c>
      <c r="N240" s="33">
        <f t="shared" si="11"/>
        <v>5.2405436130632491E-2</v>
      </c>
      <c r="O240" s="9"/>
      <c r="P240" s="10"/>
      <c r="Q240" s="4"/>
      <c r="S240" s="8"/>
      <c r="T240" s="8"/>
      <c r="U240" s="8"/>
      <c r="V240" s="4"/>
      <c r="W240" s="8"/>
      <c r="X240" s="8"/>
      <c r="Y240" s="8"/>
      <c r="Z240" s="8"/>
      <c r="AA240" s="8"/>
      <c r="AB240" s="4"/>
      <c r="AC240" s="8"/>
      <c r="AD240" s="8"/>
      <c r="AE240" s="8"/>
      <c r="AF240" s="8"/>
      <c r="AG240" s="8"/>
      <c r="AH240" s="4"/>
    </row>
    <row r="241" spans="1:34" x14ac:dyDescent="0.3">
      <c r="A241" s="27" t="s">
        <v>886</v>
      </c>
      <c r="B241" s="27" t="s">
        <v>128</v>
      </c>
      <c r="C241" s="26" t="s">
        <v>887</v>
      </c>
      <c r="D241" s="29">
        <v>11.9</v>
      </c>
      <c r="E241" s="29">
        <v>10.295999999999999</v>
      </c>
      <c r="F241" s="27">
        <v>2015</v>
      </c>
      <c r="G241" s="29">
        <v>6.9999000000000002</v>
      </c>
      <c r="H241" s="28">
        <f t="shared" si="9"/>
        <v>58.822689075630251</v>
      </c>
      <c r="I241" s="30">
        <f t="shared" si="10"/>
        <v>86.52100840336135</v>
      </c>
      <c r="J241" s="31">
        <v>1651</v>
      </c>
      <c r="K241" s="31">
        <v>647</v>
      </c>
      <c r="L241" s="31">
        <v>1687</v>
      </c>
      <c r="M241" s="32">
        <v>15.5</v>
      </c>
      <c r="N241" s="33">
        <f t="shared" si="11"/>
        <v>5.2405214054125591E-2</v>
      </c>
    </row>
    <row r="242" spans="1:34" x14ac:dyDescent="0.3">
      <c r="A242" s="27" t="s">
        <v>892</v>
      </c>
      <c r="B242" s="27" t="s">
        <v>128</v>
      </c>
      <c r="C242" s="26" t="s">
        <v>893</v>
      </c>
      <c r="D242" s="29">
        <v>11.2</v>
      </c>
      <c r="E242" s="29">
        <v>9.6775000000000002</v>
      </c>
      <c r="F242" s="27">
        <v>2014</v>
      </c>
      <c r="G242" s="29">
        <v>6.5587</v>
      </c>
      <c r="H242" s="28">
        <f t="shared" si="9"/>
        <v>58.559821428571432</v>
      </c>
      <c r="I242" s="30">
        <f t="shared" si="10"/>
        <v>86.40625</v>
      </c>
      <c r="J242" s="31">
        <v>1649</v>
      </c>
      <c r="K242" s="31">
        <v>649</v>
      </c>
      <c r="L242" s="31">
        <v>1681</v>
      </c>
      <c r="M242" s="32">
        <v>15.5</v>
      </c>
      <c r="N242" s="33">
        <f t="shared" si="11"/>
        <v>5.2399181322013343E-2</v>
      </c>
    </row>
    <row r="243" spans="1:34" x14ac:dyDescent="0.3">
      <c r="A243" s="27" t="s">
        <v>661</v>
      </c>
      <c r="B243" s="27" t="s">
        <v>128</v>
      </c>
      <c r="C243" s="26" t="s">
        <v>662</v>
      </c>
      <c r="D243" s="29">
        <v>7.9</v>
      </c>
      <c r="E243" s="29">
        <v>5.91</v>
      </c>
      <c r="F243" s="27">
        <v>2017</v>
      </c>
      <c r="G243" s="29">
        <v>5.8</v>
      </c>
      <c r="H243" s="28">
        <f t="shared" si="9"/>
        <v>73.417721518987335</v>
      </c>
      <c r="I243" s="30">
        <f t="shared" si="10"/>
        <v>74.810126582278485</v>
      </c>
      <c r="J243" s="31">
        <v>1428</v>
      </c>
      <c r="K243" s="31">
        <v>579</v>
      </c>
      <c r="L243" s="31">
        <v>1509</v>
      </c>
      <c r="M243" s="32">
        <v>8.9</v>
      </c>
      <c r="N243" s="33">
        <f t="shared" si="11"/>
        <v>5.2388043825124991E-2</v>
      </c>
    </row>
    <row r="244" spans="1:34" x14ac:dyDescent="0.3">
      <c r="A244" s="27" t="s">
        <v>964</v>
      </c>
      <c r="B244" s="27" t="s">
        <v>128</v>
      </c>
      <c r="C244" s="26" t="s">
        <v>965</v>
      </c>
      <c r="D244" s="29">
        <v>40.6</v>
      </c>
      <c r="E244" s="29">
        <v>41.054499999999997</v>
      </c>
      <c r="F244" s="27">
        <v>2014</v>
      </c>
      <c r="G244" s="29">
        <v>22</v>
      </c>
      <c r="H244" s="28">
        <f t="shared" si="9"/>
        <v>54.187192118226598</v>
      </c>
      <c r="I244" s="30">
        <f t="shared" si="10"/>
        <v>101.11945812807882</v>
      </c>
      <c r="J244" s="31">
        <v>1933</v>
      </c>
      <c r="K244" s="31">
        <v>474</v>
      </c>
      <c r="L244" s="31">
        <v>2444</v>
      </c>
      <c r="M244" s="32">
        <v>15.5</v>
      </c>
      <c r="N244" s="33">
        <f t="shared" si="11"/>
        <v>5.2312187339926965E-2</v>
      </c>
      <c r="P244" s="10"/>
    </row>
    <row r="245" spans="1:34" x14ac:dyDescent="0.3">
      <c r="A245" s="27" t="s">
        <v>825</v>
      </c>
      <c r="B245" s="27" t="s">
        <v>128</v>
      </c>
      <c r="C245" s="26" t="s">
        <v>826</v>
      </c>
      <c r="D245" s="29">
        <v>10.9</v>
      </c>
      <c r="E245" s="29">
        <v>9.2539999999999996</v>
      </c>
      <c r="F245" s="27">
        <v>2015</v>
      </c>
      <c r="G245" s="29">
        <v>6.81</v>
      </c>
      <c r="H245" s="28">
        <f t="shared" si="9"/>
        <v>62.477064220183486</v>
      </c>
      <c r="I245" s="30">
        <f t="shared" si="10"/>
        <v>84.899082568807344</v>
      </c>
      <c r="J245" s="31">
        <v>1623</v>
      </c>
      <c r="K245" s="31">
        <v>633</v>
      </c>
      <c r="L245" s="31">
        <v>1678</v>
      </c>
      <c r="M245" s="32">
        <v>14.3</v>
      </c>
      <c r="N245" s="33">
        <f t="shared" si="11"/>
        <v>5.2309970775605265E-2</v>
      </c>
      <c r="O245" s="9"/>
      <c r="Q245" s="4"/>
      <c r="S245" s="8"/>
      <c r="T245" s="8"/>
      <c r="U245" s="8"/>
      <c r="V245" s="4"/>
      <c r="W245" s="8"/>
      <c r="X245" s="8"/>
      <c r="Y245" s="8"/>
      <c r="Z245" s="8"/>
      <c r="AA245" s="8"/>
      <c r="AB245" s="4"/>
      <c r="AC245" s="8"/>
      <c r="AD245" s="8"/>
      <c r="AE245" s="8"/>
      <c r="AF245" s="8"/>
      <c r="AG245" s="8"/>
      <c r="AH245" s="4"/>
    </row>
    <row r="246" spans="1:34" x14ac:dyDescent="0.3">
      <c r="A246" s="27" t="s">
        <v>900</v>
      </c>
      <c r="B246" s="27" t="s">
        <v>128</v>
      </c>
      <c r="C246" s="26" t="s">
        <v>901</v>
      </c>
      <c r="D246" s="29">
        <v>10.6</v>
      </c>
      <c r="E246" s="29">
        <v>8.2636669999999999</v>
      </c>
      <c r="F246" s="27">
        <v>2014</v>
      </c>
      <c r="G246" s="29">
        <v>6.12</v>
      </c>
      <c r="H246" s="28">
        <f t="shared" si="9"/>
        <v>57.735849056603776</v>
      </c>
      <c r="I246" s="30">
        <f t="shared" si="10"/>
        <v>77.959122641509438</v>
      </c>
      <c r="J246" s="31">
        <v>1494</v>
      </c>
      <c r="K246" s="31">
        <v>620</v>
      </c>
      <c r="L246" s="31">
        <v>1524</v>
      </c>
      <c r="M246" s="32">
        <v>11.7</v>
      </c>
      <c r="N246" s="33">
        <f t="shared" si="11"/>
        <v>5.2181474324972853E-2</v>
      </c>
    </row>
    <row r="247" spans="1:34" x14ac:dyDescent="0.3">
      <c r="A247" s="27" t="s">
        <v>813</v>
      </c>
      <c r="B247" s="27" t="s">
        <v>11</v>
      </c>
      <c r="C247" s="26" t="s">
        <v>814</v>
      </c>
      <c r="D247" s="29">
        <v>15.7</v>
      </c>
      <c r="E247" s="29">
        <v>12.16</v>
      </c>
      <c r="F247" s="27">
        <v>2015</v>
      </c>
      <c r="G247" s="29">
        <v>9.9</v>
      </c>
      <c r="H247" s="28">
        <f t="shared" si="9"/>
        <v>63.057324840764331</v>
      </c>
      <c r="I247" s="30">
        <f t="shared" si="10"/>
        <v>77.452229299363054</v>
      </c>
      <c r="J247" s="31">
        <v>1486</v>
      </c>
      <c r="K247" s="31">
        <v>727</v>
      </c>
      <c r="L247" s="31">
        <v>1230</v>
      </c>
      <c r="M247" s="32">
        <v>15.4</v>
      </c>
      <c r="N247" s="33">
        <f t="shared" si="11"/>
        <v>5.212128485825239E-2</v>
      </c>
    </row>
    <row r="248" spans="1:34" x14ac:dyDescent="0.3">
      <c r="A248" s="27" t="s">
        <v>856</v>
      </c>
      <c r="B248" s="27" t="s">
        <v>128</v>
      </c>
      <c r="C248" s="26" t="s">
        <v>857</v>
      </c>
      <c r="D248" s="29">
        <v>10.6</v>
      </c>
      <c r="E248" s="29">
        <v>9.1255000000000006</v>
      </c>
      <c r="F248" s="27">
        <v>2015</v>
      </c>
      <c r="G248" s="29">
        <v>6.4</v>
      </c>
      <c r="H248" s="28">
        <f t="shared" si="9"/>
        <v>60.377358490566039</v>
      </c>
      <c r="I248" s="30">
        <f t="shared" si="10"/>
        <v>86.089622641509436</v>
      </c>
      <c r="J248" s="31">
        <v>1652</v>
      </c>
      <c r="K248" s="31">
        <v>643</v>
      </c>
      <c r="L248" s="31">
        <v>1698</v>
      </c>
      <c r="M248" s="32">
        <v>14.5</v>
      </c>
      <c r="N248" s="33">
        <f t="shared" si="11"/>
        <v>5.211236237379506E-2</v>
      </c>
    </row>
    <row r="249" spans="1:34" x14ac:dyDescent="0.3">
      <c r="A249" s="34" t="s">
        <v>121</v>
      </c>
      <c r="B249" s="16" t="s">
        <v>2</v>
      </c>
      <c r="C249" s="16" t="s">
        <v>122</v>
      </c>
      <c r="D249" s="35">
        <v>239.6</v>
      </c>
      <c r="E249" s="35">
        <v>173</v>
      </c>
      <c r="F249" s="16">
        <v>2015</v>
      </c>
      <c r="G249" s="36">
        <v>140</v>
      </c>
      <c r="H249" s="28">
        <f t="shared" si="9"/>
        <v>58.430717863105173</v>
      </c>
      <c r="I249" s="30">
        <f t="shared" si="10"/>
        <v>72.203672787979968</v>
      </c>
      <c r="J249" s="44">
        <v>1386</v>
      </c>
      <c r="K249" s="30">
        <v>579</v>
      </c>
      <c r="L249" s="30">
        <v>1458</v>
      </c>
      <c r="M249" s="32">
        <v>7.4</v>
      </c>
      <c r="N249" s="33">
        <f t="shared" si="11"/>
        <v>5.2095002011529556E-2</v>
      </c>
    </row>
    <row r="250" spans="1:34" x14ac:dyDescent="0.3">
      <c r="A250" s="27" t="s">
        <v>866</v>
      </c>
      <c r="B250" s="27" t="s">
        <v>128</v>
      </c>
      <c r="C250" s="26" t="s">
        <v>867</v>
      </c>
      <c r="D250" s="29">
        <v>10.6</v>
      </c>
      <c r="E250" s="29">
        <v>9.0879999999999992</v>
      </c>
      <c r="F250" s="27">
        <v>2015</v>
      </c>
      <c r="G250" s="29">
        <v>6.37</v>
      </c>
      <c r="H250" s="28">
        <f t="shared" si="9"/>
        <v>60.094339622641506</v>
      </c>
      <c r="I250" s="30">
        <f t="shared" si="10"/>
        <v>85.735849056603769</v>
      </c>
      <c r="J250" s="31">
        <v>1647</v>
      </c>
      <c r="K250" s="31">
        <v>638</v>
      </c>
      <c r="L250" s="31">
        <v>1706</v>
      </c>
      <c r="M250" s="32">
        <v>13.7</v>
      </c>
      <c r="N250" s="33">
        <f t="shared" si="11"/>
        <v>5.2055767490348369E-2</v>
      </c>
    </row>
    <row r="251" spans="1:34" x14ac:dyDescent="0.3">
      <c r="A251" s="42" t="s">
        <v>440</v>
      </c>
      <c r="B251" s="17" t="s">
        <v>11</v>
      </c>
      <c r="C251" s="17" t="s">
        <v>441</v>
      </c>
      <c r="D251" s="43">
        <v>40.299999237060497</v>
      </c>
      <c r="E251" s="43">
        <v>29</v>
      </c>
      <c r="F251" s="17">
        <v>2015</v>
      </c>
      <c r="G251" s="36">
        <v>28.299999237060501</v>
      </c>
      <c r="H251" s="28">
        <f t="shared" si="9"/>
        <v>70.223324498317581</v>
      </c>
      <c r="I251" s="30">
        <f t="shared" si="10"/>
        <v>71.960299129065888</v>
      </c>
      <c r="J251" s="31">
        <v>1384</v>
      </c>
      <c r="K251" s="30">
        <v>692</v>
      </c>
      <c r="L251" s="30">
        <v>1122</v>
      </c>
      <c r="M251" s="41">
        <v>12</v>
      </c>
      <c r="N251" s="33">
        <f t="shared" si="11"/>
        <v>5.1994435786897317E-2</v>
      </c>
      <c r="O251" s="54"/>
      <c r="Q251" s="54"/>
      <c r="S251" s="54"/>
      <c r="T251" s="54"/>
      <c r="U251" s="54"/>
      <c r="V251" s="54"/>
      <c r="W251" s="54"/>
      <c r="X251" s="54"/>
      <c r="Y251" s="54"/>
      <c r="Z251" s="54"/>
      <c r="AA251" s="54"/>
      <c r="AB251" s="54"/>
      <c r="AC251" s="54"/>
      <c r="AD251" s="54"/>
      <c r="AE251" s="54"/>
      <c r="AF251" s="54"/>
      <c r="AG251" s="54"/>
      <c r="AH251" s="54"/>
    </row>
    <row r="252" spans="1:34" x14ac:dyDescent="0.3">
      <c r="A252" s="42" t="s">
        <v>314</v>
      </c>
      <c r="B252" s="17" t="s">
        <v>128</v>
      </c>
      <c r="C252" s="17" t="s">
        <v>315</v>
      </c>
      <c r="D252" s="43">
        <v>11.3999996185303</v>
      </c>
      <c r="E252" s="43">
        <v>9.75</v>
      </c>
      <c r="F252" s="17">
        <v>2014</v>
      </c>
      <c r="G252" s="36">
        <v>6.5</v>
      </c>
      <c r="H252" s="28">
        <f t="shared" si="9"/>
        <v>57.017545767584743</v>
      </c>
      <c r="I252" s="30">
        <f t="shared" si="10"/>
        <v>85.526318651377125</v>
      </c>
      <c r="J252" s="31">
        <v>1645</v>
      </c>
      <c r="K252" s="30">
        <v>640</v>
      </c>
      <c r="L252" s="30">
        <v>1694</v>
      </c>
      <c r="M252" s="41">
        <v>14.3</v>
      </c>
      <c r="N252" s="33">
        <f t="shared" si="11"/>
        <v>5.1991683070745975E-2</v>
      </c>
      <c r="O252" s="54"/>
      <c r="Q252" s="54"/>
      <c r="S252" s="54"/>
      <c r="T252" s="54"/>
      <c r="U252" s="54"/>
      <c r="V252" s="54"/>
      <c r="W252" s="54"/>
      <c r="X252" s="54"/>
      <c r="Y252" s="54"/>
      <c r="Z252" s="54"/>
      <c r="AA252" s="54"/>
      <c r="AB252" s="54"/>
      <c r="AC252" s="54"/>
      <c r="AD252" s="54"/>
      <c r="AE252" s="54"/>
      <c r="AF252" s="54"/>
      <c r="AG252" s="54"/>
      <c r="AH252" s="54"/>
    </row>
    <row r="253" spans="1:34" x14ac:dyDescent="0.3">
      <c r="A253" s="27" t="s">
        <v>968</v>
      </c>
      <c r="B253" s="27" t="s">
        <v>21</v>
      </c>
      <c r="C253" s="26" t="s">
        <v>969</v>
      </c>
      <c r="D253" s="29">
        <v>15.6</v>
      </c>
      <c r="E253" s="29">
        <v>14.17717</v>
      </c>
      <c r="F253" s="27">
        <v>2017</v>
      </c>
      <c r="G253" s="29">
        <v>8.4137500000000003</v>
      </c>
      <c r="H253" s="28">
        <f t="shared" ref="H253:H316" si="12">G253*10^6/(D253*10^4)</f>
        <v>53.934294871794869</v>
      </c>
      <c r="I253" s="30">
        <f t="shared" ref="I253:I316" si="13">E253*10^6/(D253*10^4)</f>
        <v>90.879294871794869</v>
      </c>
      <c r="J253" s="31">
        <v>1748</v>
      </c>
      <c r="K253" s="31">
        <v>608</v>
      </c>
      <c r="L253" s="31">
        <v>1870</v>
      </c>
      <c r="M253" s="32">
        <v>11.5</v>
      </c>
      <c r="N253" s="33">
        <f t="shared" ref="N253:N316" si="14">I253/J253</f>
        <v>5.1990443290500496E-2</v>
      </c>
      <c r="O253" s="9"/>
      <c r="P253" s="10"/>
      <c r="Q253" s="4"/>
      <c r="S253" s="8"/>
      <c r="T253" s="8"/>
      <c r="U253" s="8"/>
      <c r="V253" s="4"/>
      <c r="W253" s="8"/>
      <c r="X253" s="8"/>
      <c r="Y253" s="8"/>
      <c r="Z253" s="8"/>
      <c r="AA253" s="8"/>
      <c r="AB253" s="4"/>
      <c r="AC253" s="8"/>
      <c r="AD253" s="8"/>
      <c r="AE253" s="8"/>
      <c r="AF253" s="8"/>
      <c r="AG253" s="8"/>
      <c r="AH253" s="4"/>
    </row>
    <row r="254" spans="1:34" x14ac:dyDescent="0.3">
      <c r="A254" s="27" t="s">
        <v>1030</v>
      </c>
      <c r="B254" s="27" t="s">
        <v>128</v>
      </c>
      <c r="C254" s="26" t="s">
        <v>1031</v>
      </c>
      <c r="D254" s="29">
        <v>188.6</v>
      </c>
      <c r="E254" s="29">
        <v>210</v>
      </c>
      <c r="F254" s="27">
        <v>2018</v>
      </c>
      <c r="G254" s="29">
        <v>96</v>
      </c>
      <c r="H254" s="28">
        <f t="shared" si="12"/>
        <v>50.901378579003179</v>
      </c>
      <c r="I254" s="30">
        <f t="shared" si="13"/>
        <v>111.34676564156946</v>
      </c>
      <c r="J254" s="31">
        <v>2142</v>
      </c>
      <c r="K254" s="31">
        <v>525</v>
      </c>
      <c r="L254" s="31">
        <v>2592</v>
      </c>
      <c r="M254" s="32">
        <v>23.1</v>
      </c>
      <c r="N254" s="33">
        <f t="shared" si="14"/>
        <v>5.1982617012870901E-2</v>
      </c>
    </row>
    <row r="255" spans="1:34" x14ac:dyDescent="0.3">
      <c r="A255" s="27" t="s">
        <v>864</v>
      </c>
      <c r="B255" s="27" t="s">
        <v>128</v>
      </c>
      <c r="C255" s="26" t="s">
        <v>865</v>
      </c>
      <c r="D255" s="29">
        <v>11.7</v>
      </c>
      <c r="E255" s="29">
        <v>9.1259999999999994</v>
      </c>
      <c r="F255" s="27">
        <v>2015</v>
      </c>
      <c r="G255" s="29">
        <v>7.0393999999999997</v>
      </c>
      <c r="H255" s="28">
        <f t="shared" si="12"/>
        <v>60.165811965811969</v>
      </c>
      <c r="I255" s="30">
        <f t="shared" si="13"/>
        <v>78</v>
      </c>
      <c r="J255" s="31">
        <v>1504</v>
      </c>
      <c r="K255" s="31">
        <v>616</v>
      </c>
      <c r="L255" s="31">
        <v>1512</v>
      </c>
      <c r="M255" s="32">
        <v>11.8</v>
      </c>
      <c r="N255" s="33">
        <f t="shared" si="14"/>
        <v>5.1861702127659573E-2</v>
      </c>
    </row>
    <row r="256" spans="1:34" x14ac:dyDescent="0.3">
      <c r="A256" s="34" t="s">
        <v>123</v>
      </c>
      <c r="B256" s="16" t="s">
        <v>4</v>
      </c>
      <c r="C256" s="16" t="s">
        <v>124</v>
      </c>
      <c r="D256" s="35">
        <v>162.80000000000001</v>
      </c>
      <c r="E256" s="35">
        <v>110</v>
      </c>
      <c r="F256" s="16">
        <v>2014</v>
      </c>
      <c r="G256" s="36">
        <v>100</v>
      </c>
      <c r="H256" s="28">
        <f t="shared" si="12"/>
        <v>61.425061425061422</v>
      </c>
      <c r="I256" s="30">
        <f t="shared" si="13"/>
        <v>67.567567567567565</v>
      </c>
      <c r="J256" s="44">
        <v>1303</v>
      </c>
      <c r="K256" s="30">
        <v>778</v>
      </c>
      <c r="L256" s="30">
        <v>774</v>
      </c>
      <c r="M256" s="32">
        <v>16.100000000000001</v>
      </c>
      <c r="N256" s="33">
        <f t="shared" si="14"/>
        <v>5.1855385700358837E-2</v>
      </c>
      <c r="O256" s="54"/>
      <c r="Q256" s="54"/>
      <c r="S256" s="54"/>
      <c r="T256" s="54"/>
      <c r="U256" s="54"/>
      <c r="V256" s="54"/>
      <c r="W256" s="54"/>
      <c r="X256" s="54"/>
      <c r="Y256" s="54"/>
      <c r="Z256" s="54"/>
      <c r="AA256" s="54"/>
      <c r="AB256" s="54"/>
      <c r="AC256" s="54"/>
      <c r="AD256" s="54"/>
      <c r="AE256" s="54"/>
      <c r="AF256" s="54"/>
      <c r="AG256" s="54"/>
      <c r="AH256" s="54"/>
    </row>
    <row r="257" spans="1:34" x14ac:dyDescent="0.3">
      <c r="A257" s="27" t="s">
        <v>898</v>
      </c>
      <c r="B257" s="27" t="s">
        <v>128</v>
      </c>
      <c r="C257" s="26" t="s">
        <v>899</v>
      </c>
      <c r="D257" s="29">
        <v>11</v>
      </c>
      <c r="E257" s="29">
        <v>9.4610000000000003</v>
      </c>
      <c r="F257" s="27">
        <v>2016</v>
      </c>
      <c r="G257" s="29">
        <v>6.3971999999999998</v>
      </c>
      <c r="H257" s="28">
        <f t="shared" si="12"/>
        <v>58.156363636363636</v>
      </c>
      <c r="I257" s="30">
        <f t="shared" si="13"/>
        <v>86.009090909090915</v>
      </c>
      <c r="J257" s="31">
        <v>1660</v>
      </c>
      <c r="K257" s="31">
        <v>652</v>
      </c>
      <c r="L257" s="31">
        <v>1687</v>
      </c>
      <c r="M257" s="32">
        <v>15.7</v>
      </c>
      <c r="N257" s="33">
        <f t="shared" si="14"/>
        <v>5.1812705366922236E-2</v>
      </c>
    </row>
    <row r="258" spans="1:34" x14ac:dyDescent="0.3">
      <c r="A258" s="42" t="s">
        <v>356</v>
      </c>
      <c r="B258" s="17" t="s">
        <v>11</v>
      </c>
      <c r="C258" s="17" t="s">
        <v>357</v>
      </c>
      <c r="D258" s="43">
        <v>14.5</v>
      </c>
      <c r="E258" s="43">
        <v>11.569999694824199</v>
      </c>
      <c r="F258" s="17">
        <v>2015</v>
      </c>
      <c r="G258" s="36">
        <v>9.3999996185302699</v>
      </c>
      <c r="H258" s="28">
        <f t="shared" si="12"/>
        <v>64.827583576070822</v>
      </c>
      <c r="I258" s="30">
        <f t="shared" si="13"/>
        <v>79.793101343615177</v>
      </c>
      <c r="J258" s="31">
        <v>1541</v>
      </c>
      <c r="K258" s="30">
        <v>691</v>
      </c>
      <c r="L258" s="30">
        <v>1394</v>
      </c>
      <c r="M258" s="41">
        <v>16.399999999999999</v>
      </c>
      <c r="N258" s="33">
        <f t="shared" si="14"/>
        <v>5.1780078743423219E-2</v>
      </c>
      <c r="O258" s="9"/>
      <c r="Q258" s="4"/>
      <c r="S258" s="8"/>
      <c r="T258" s="8"/>
      <c r="U258" s="8"/>
      <c r="V258" s="4"/>
      <c r="W258" s="8"/>
      <c r="X258" s="8"/>
      <c r="Y258" s="8"/>
      <c r="Z258" s="8"/>
      <c r="AA258" s="8"/>
      <c r="AB258" s="4"/>
      <c r="AC258" s="8"/>
      <c r="AD258" s="8"/>
      <c r="AE258" s="8"/>
      <c r="AF258" s="8"/>
      <c r="AG258" s="8"/>
      <c r="AH258" s="4"/>
    </row>
    <row r="259" spans="1:34" x14ac:dyDescent="0.3">
      <c r="A259" s="42" t="s">
        <v>466</v>
      </c>
      <c r="B259" s="17" t="s">
        <v>6</v>
      </c>
      <c r="C259" s="17" t="s">
        <v>467</v>
      </c>
      <c r="D259" s="43">
        <v>13.1000003814697</v>
      </c>
      <c r="E259" s="43">
        <v>8.8249998092651403</v>
      </c>
      <c r="F259" s="17">
        <v>2014</v>
      </c>
      <c r="G259" s="36">
        <v>6.6999998092651403</v>
      </c>
      <c r="H259" s="28">
        <f t="shared" si="12"/>
        <v>51.145035222613188</v>
      </c>
      <c r="I259" s="30">
        <f t="shared" si="13"/>
        <v>67.366408796051161</v>
      </c>
      <c r="J259" s="31">
        <v>1302</v>
      </c>
      <c r="K259" s="30">
        <v>625</v>
      </c>
      <c r="L259" s="30">
        <v>1198</v>
      </c>
      <c r="M259" s="41">
        <v>13.2</v>
      </c>
      <c r="N259" s="33">
        <f t="shared" si="14"/>
        <v>5.17407133610224E-2</v>
      </c>
    </row>
    <row r="260" spans="1:34" x14ac:dyDescent="0.3">
      <c r="A260" s="34" t="s">
        <v>125</v>
      </c>
      <c r="B260" s="16" t="s">
        <v>2</v>
      </c>
      <c r="C260" s="16" t="s">
        <v>126</v>
      </c>
      <c r="D260" s="35">
        <v>17.100000000000001</v>
      </c>
      <c r="E260" s="35">
        <v>12.212999999999999</v>
      </c>
      <c r="F260" s="16">
        <v>2014</v>
      </c>
      <c r="G260" s="36">
        <v>10</v>
      </c>
      <c r="H260" s="28">
        <f t="shared" si="12"/>
        <v>58.479532163742689</v>
      </c>
      <c r="I260" s="30">
        <f t="shared" si="13"/>
        <v>71.421052631578945</v>
      </c>
      <c r="J260" s="44">
        <v>1382</v>
      </c>
      <c r="K260" s="30">
        <v>591</v>
      </c>
      <c r="L260" s="30">
        <v>1373</v>
      </c>
      <c r="M260" s="32">
        <v>8.1</v>
      </c>
      <c r="N260" s="33">
        <f t="shared" si="14"/>
        <v>5.1679488155990556E-2</v>
      </c>
    </row>
    <row r="261" spans="1:34" x14ac:dyDescent="0.3">
      <c r="A261" s="27" t="s">
        <v>880</v>
      </c>
      <c r="B261" s="27" t="s">
        <v>128</v>
      </c>
      <c r="C261" s="26" t="s">
        <v>881</v>
      </c>
      <c r="D261" s="29">
        <v>72.8</v>
      </c>
      <c r="E261" s="29">
        <v>62.671999999999997</v>
      </c>
      <c r="F261" s="27">
        <v>2017</v>
      </c>
      <c r="G261" s="29">
        <v>43.2</v>
      </c>
      <c r="H261" s="28">
        <f t="shared" si="12"/>
        <v>59.340659340659343</v>
      </c>
      <c r="I261" s="30">
        <f t="shared" si="13"/>
        <v>86.087912087912088</v>
      </c>
      <c r="J261" s="31">
        <v>1672</v>
      </c>
      <c r="K261" s="31">
        <v>659</v>
      </c>
      <c r="L261" s="31">
        <v>1690</v>
      </c>
      <c r="M261" s="32">
        <v>16.2</v>
      </c>
      <c r="N261" s="33">
        <f t="shared" si="14"/>
        <v>5.1487985698512012E-2</v>
      </c>
      <c r="Y261" s="13"/>
      <c r="Z261" s="13"/>
    </row>
    <row r="262" spans="1:34" x14ac:dyDescent="0.3">
      <c r="A262" s="34" t="s">
        <v>127</v>
      </c>
      <c r="B262" s="16" t="s">
        <v>128</v>
      </c>
      <c r="C262" s="16" t="s">
        <v>129</v>
      </c>
      <c r="D262" s="35">
        <v>46.1</v>
      </c>
      <c r="E262" s="35">
        <v>48</v>
      </c>
      <c r="F262" s="16">
        <v>2015</v>
      </c>
      <c r="G262" s="36">
        <v>25</v>
      </c>
      <c r="H262" s="28">
        <f t="shared" si="12"/>
        <v>54.229934924078094</v>
      </c>
      <c r="I262" s="30">
        <f t="shared" si="13"/>
        <v>104.12147505422993</v>
      </c>
      <c r="J262" s="44">
        <v>2024</v>
      </c>
      <c r="K262" s="30">
        <v>485</v>
      </c>
      <c r="L262" s="30">
        <v>2517</v>
      </c>
      <c r="M262" s="32">
        <v>16.5</v>
      </c>
      <c r="N262" s="33">
        <f t="shared" si="14"/>
        <v>5.1443416528769728E-2</v>
      </c>
      <c r="O262" s="54"/>
      <c r="Q262" s="54"/>
      <c r="S262" s="54"/>
      <c r="T262" s="54"/>
      <c r="U262" s="54"/>
      <c r="V262" s="54"/>
      <c r="W262" s="54"/>
      <c r="X262" s="54"/>
      <c r="Y262" s="54"/>
      <c r="Z262" s="54"/>
      <c r="AA262" s="54"/>
      <c r="AB262" s="54"/>
      <c r="AC262" s="54"/>
      <c r="AD262" s="54"/>
      <c r="AE262" s="54"/>
      <c r="AF262" s="54"/>
      <c r="AG262" s="54"/>
      <c r="AH262" s="54"/>
    </row>
    <row r="263" spans="1:34" x14ac:dyDescent="0.3">
      <c r="A263" s="27" t="s">
        <v>854</v>
      </c>
      <c r="B263" s="27" t="s">
        <v>128</v>
      </c>
      <c r="C263" s="26" t="s">
        <v>855</v>
      </c>
      <c r="D263" s="29">
        <v>10.7</v>
      </c>
      <c r="E263" s="29">
        <v>9.0570000000000004</v>
      </c>
      <c r="F263" s="27">
        <v>2015</v>
      </c>
      <c r="G263" s="29">
        <v>6.5</v>
      </c>
      <c r="H263" s="28">
        <f t="shared" si="12"/>
        <v>60.747663551401871</v>
      </c>
      <c r="I263" s="30">
        <f t="shared" si="13"/>
        <v>84.644859813084111</v>
      </c>
      <c r="J263" s="31">
        <v>1647</v>
      </c>
      <c r="K263" s="31">
        <v>648</v>
      </c>
      <c r="L263" s="31">
        <v>1679</v>
      </c>
      <c r="M263" s="32">
        <v>15.5</v>
      </c>
      <c r="N263" s="33">
        <f t="shared" si="14"/>
        <v>5.1393357506426297E-2</v>
      </c>
    </row>
    <row r="264" spans="1:34" x14ac:dyDescent="0.3">
      <c r="A264" s="27" t="s">
        <v>1026</v>
      </c>
      <c r="B264" s="27" t="s">
        <v>128</v>
      </c>
      <c r="C264" s="26" t="s">
        <v>1027</v>
      </c>
      <c r="D264" s="29">
        <v>4.9000000000000004</v>
      </c>
      <c r="E264" s="29">
        <v>4.2240000000000002</v>
      </c>
      <c r="F264" s="27">
        <v>2016</v>
      </c>
      <c r="G264" s="29">
        <v>2.5</v>
      </c>
      <c r="H264" s="28">
        <f t="shared" si="12"/>
        <v>51.020408163265309</v>
      </c>
      <c r="I264" s="30">
        <f t="shared" si="13"/>
        <v>86.204081632653057</v>
      </c>
      <c r="J264" s="31">
        <v>1678</v>
      </c>
      <c r="K264" s="31">
        <v>657</v>
      </c>
      <c r="L264" s="31">
        <v>1700</v>
      </c>
      <c r="M264" s="32">
        <v>16.2</v>
      </c>
      <c r="N264" s="33">
        <f t="shared" si="14"/>
        <v>5.1373111819221128E-2</v>
      </c>
    </row>
    <row r="265" spans="1:34" x14ac:dyDescent="0.3">
      <c r="A265" s="27" t="s">
        <v>934</v>
      </c>
      <c r="B265" s="27" t="s">
        <v>128</v>
      </c>
      <c r="C265" s="26" t="s">
        <v>935</v>
      </c>
      <c r="D265" s="29">
        <v>12.2</v>
      </c>
      <c r="E265" s="29">
        <v>10.413</v>
      </c>
      <c r="F265" s="27">
        <v>2014</v>
      </c>
      <c r="G265" s="29">
        <v>6.8</v>
      </c>
      <c r="H265" s="28">
        <f t="shared" si="12"/>
        <v>55.73770491803279</v>
      </c>
      <c r="I265" s="30">
        <f t="shared" si="13"/>
        <v>85.352459016393439</v>
      </c>
      <c r="J265" s="31">
        <v>1668</v>
      </c>
      <c r="K265" s="31">
        <v>645</v>
      </c>
      <c r="L265" s="31">
        <v>1711</v>
      </c>
      <c r="M265" s="32">
        <v>14.7</v>
      </c>
      <c r="N265" s="33">
        <f t="shared" si="14"/>
        <v>5.1170538978653139E-2</v>
      </c>
    </row>
    <row r="266" spans="1:34" x14ac:dyDescent="0.3">
      <c r="A266" s="42" t="s">
        <v>456</v>
      </c>
      <c r="B266" s="17" t="s">
        <v>6</v>
      </c>
      <c r="C266" s="17" t="s">
        <v>457</v>
      </c>
      <c r="D266" s="43">
        <v>20.700000762939499</v>
      </c>
      <c r="E266" s="43">
        <v>14</v>
      </c>
      <c r="F266" s="17">
        <v>2017</v>
      </c>
      <c r="G266" s="36">
        <v>11.6000003814697</v>
      </c>
      <c r="H266" s="28">
        <f t="shared" si="12"/>
        <v>56.038647120428628</v>
      </c>
      <c r="I266" s="30">
        <f t="shared" si="13"/>
        <v>67.632847748803329</v>
      </c>
      <c r="J266" s="31">
        <v>1322</v>
      </c>
      <c r="K266" s="30">
        <v>615</v>
      </c>
      <c r="L266" s="30">
        <v>1260</v>
      </c>
      <c r="M266" s="41">
        <v>13.9</v>
      </c>
      <c r="N266" s="33">
        <f t="shared" si="14"/>
        <v>5.1159491489261216E-2</v>
      </c>
    </row>
    <row r="267" spans="1:34" x14ac:dyDescent="0.3">
      <c r="A267" s="27" t="s">
        <v>777</v>
      </c>
      <c r="B267" s="27" t="s">
        <v>128</v>
      </c>
      <c r="C267" s="26" t="s">
        <v>778</v>
      </c>
      <c r="D267" s="29">
        <v>9.9</v>
      </c>
      <c r="E267" s="29">
        <v>8.1470000000000002</v>
      </c>
      <c r="F267" s="27">
        <v>2015</v>
      </c>
      <c r="G267" s="29">
        <v>6.5087000000000002</v>
      </c>
      <c r="H267" s="28">
        <f t="shared" si="12"/>
        <v>65.74444444444444</v>
      </c>
      <c r="I267" s="30">
        <f t="shared" si="13"/>
        <v>82.292929292929287</v>
      </c>
      <c r="J267" s="31">
        <v>1609</v>
      </c>
      <c r="K267" s="31">
        <v>642</v>
      </c>
      <c r="L267" s="31">
        <v>1632</v>
      </c>
      <c r="M267" s="32">
        <v>14.8</v>
      </c>
      <c r="N267" s="33">
        <f t="shared" si="14"/>
        <v>5.1145388000577559E-2</v>
      </c>
    </row>
    <row r="268" spans="1:34" x14ac:dyDescent="0.3">
      <c r="A268" s="27" t="s">
        <v>930</v>
      </c>
      <c r="B268" s="27" t="s">
        <v>128</v>
      </c>
      <c r="C268" s="26" t="s">
        <v>931</v>
      </c>
      <c r="D268" s="29">
        <v>110.7</v>
      </c>
      <c r="E268" s="29">
        <v>92.991</v>
      </c>
      <c r="F268" s="27">
        <v>2015</v>
      </c>
      <c r="G268" s="29">
        <v>62</v>
      </c>
      <c r="H268" s="28">
        <f t="shared" si="12"/>
        <v>56.007226738934058</v>
      </c>
      <c r="I268" s="30">
        <f t="shared" si="13"/>
        <v>84.002710027100278</v>
      </c>
      <c r="J268" s="31">
        <v>1643</v>
      </c>
      <c r="K268" s="31">
        <v>656</v>
      </c>
      <c r="L268" s="31">
        <v>1657</v>
      </c>
      <c r="M268" s="32">
        <v>15.4</v>
      </c>
      <c r="N268" s="33">
        <f t="shared" si="14"/>
        <v>5.1127638482714718E-2</v>
      </c>
    </row>
    <row r="269" spans="1:34" x14ac:dyDescent="0.3">
      <c r="A269" s="27" t="s">
        <v>845</v>
      </c>
      <c r="B269" s="27" t="s">
        <v>128</v>
      </c>
      <c r="C269" s="26" t="s">
        <v>846</v>
      </c>
      <c r="D269" s="29">
        <v>10.6</v>
      </c>
      <c r="E269" s="29">
        <v>8.9269999999999996</v>
      </c>
      <c r="F269" s="27">
        <v>2015</v>
      </c>
      <c r="G269" s="29">
        <v>6.5</v>
      </c>
      <c r="H269" s="28">
        <f t="shared" si="12"/>
        <v>61.320754716981135</v>
      </c>
      <c r="I269" s="30">
        <f t="shared" si="13"/>
        <v>84.216981132075475</v>
      </c>
      <c r="J269" s="31">
        <v>1650</v>
      </c>
      <c r="K269" s="31">
        <v>643</v>
      </c>
      <c r="L269" s="31">
        <v>1689</v>
      </c>
      <c r="M269" s="32">
        <v>15.4</v>
      </c>
      <c r="N269" s="33">
        <f t="shared" si="14"/>
        <v>5.1040594625500285E-2</v>
      </c>
      <c r="O269" s="9"/>
      <c r="P269" s="10"/>
      <c r="Q269" s="4"/>
      <c r="S269" s="8"/>
      <c r="T269" s="8"/>
      <c r="U269" s="8"/>
      <c r="V269" s="4"/>
      <c r="W269" s="8"/>
      <c r="X269" s="8"/>
      <c r="Y269" s="8"/>
      <c r="Z269" s="8"/>
      <c r="AA269" s="8"/>
      <c r="AB269" s="4"/>
      <c r="AC269" s="8"/>
      <c r="AD269" s="8"/>
      <c r="AE269" s="8"/>
      <c r="AF269" s="8"/>
      <c r="AG269" s="8"/>
      <c r="AH269" s="4"/>
    </row>
    <row r="270" spans="1:34" x14ac:dyDescent="0.3">
      <c r="A270" s="27" t="s">
        <v>920</v>
      </c>
      <c r="B270" s="27" t="s">
        <v>128</v>
      </c>
      <c r="C270" s="26" t="s">
        <v>921</v>
      </c>
      <c r="D270" s="29">
        <v>11.3</v>
      </c>
      <c r="E270" s="29">
        <v>9.4990000000000006</v>
      </c>
      <c r="F270" s="27">
        <v>2014</v>
      </c>
      <c r="G270" s="29">
        <v>6.4</v>
      </c>
      <c r="H270" s="28">
        <f t="shared" si="12"/>
        <v>56.637168141592923</v>
      </c>
      <c r="I270" s="30">
        <f t="shared" si="13"/>
        <v>84.061946902654867</v>
      </c>
      <c r="J270" s="31">
        <v>1647</v>
      </c>
      <c r="K270" s="31">
        <v>649</v>
      </c>
      <c r="L270" s="31">
        <v>1672</v>
      </c>
      <c r="M270" s="32">
        <v>15</v>
      </c>
      <c r="N270" s="33">
        <f t="shared" si="14"/>
        <v>5.103943345637818E-2</v>
      </c>
    </row>
    <row r="271" spans="1:34" x14ac:dyDescent="0.3">
      <c r="A271" s="27" t="s">
        <v>902</v>
      </c>
      <c r="B271" s="27" t="s">
        <v>128</v>
      </c>
      <c r="C271" s="26" t="s">
        <v>903</v>
      </c>
      <c r="D271" s="29">
        <v>11.1</v>
      </c>
      <c r="E271" s="29">
        <v>9.1999999999999993</v>
      </c>
      <c r="F271" s="27">
        <v>2014</v>
      </c>
      <c r="G271" s="29">
        <v>6.4</v>
      </c>
      <c r="H271" s="28">
        <f t="shared" si="12"/>
        <v>57.657657657657658</v>
      </c>
      <c r="I271" s="30">
        <f t="shared" si="13"/>
        <v>82.882882882882882</v>
      </c>
      <c r="J271" s="31">
        <v>1624</v>
      </c>
      <c r="K271" s="31">
        <v>633</v>
      </c>
      <c r="L271" s="31">
        <v>1679</v>
      </c>
      <c r="M271" s="32">
        <v>14.4</v>
      </c>
      <c r="N271" s="33">
        <f t="shared" si="14"/>
        <v>5.1036257932809657E-2</v>
      </c>
      <c r="O271" s="9"/>
      <c r="Q271" s="4"/>
      <c r="S271" s="8"/>
      <c r="T271" s="8"/>
      <c r="U271" s="8"/>
      <c r="V271" s="4"/>
      <c r="W271" s="8"/>
      <c r="X271" s="8"/>
      <c r="Y271" s="8"/>
      <c r="Z271" s="8"/>
      <c r="AA271" s="8"/>
      <c r="AB271" s="4"/>
      <c r="AC271" s="8"/>
      <c r="AD271" s="8"/>
      <c r="AE271" s="8"/>
      <c r="AF271" s="8"/>
      <c r="AG271" s="8"/>
      <c r="AH271" s="4"/>
    </row>
    <row r="272" spans="1:34" x14ac:dyDescent="0.3">
      <c r="A272" s="27" t="s">
        <v>858</v>
      </c>
      <c r="B272" s="27" t="s">
        <v>128</v>
      </c>
      <c r="C272" s="26" t="s">
        <v>859</v>
      </c>
      <c r="D272" s="29">
        <v>11.6</v>
      </c>
      <c r="E272" s="29">
        <v>8.7149999999999999</v>
      </c>
      <c r="F272" s="27">
        <v>2016</v>
      </c>
      <c r="G272" s="29">
        <v>7</v>
      </c>
      <c r="H272" s="28">
        <f t="shared" si="12"/>
        <v>60.344827586206897</v>
      </c>
      <c r="I272" s="30">
        <f t="shared" si="13"/>
        <v>75.129310344827587</v>
      </c>
      <c r="J272" s="31">
        <v>1475</v>
      </c>
      <c r="K272" s="31">
        <v>615</v>
      </c>
      <c r="L272" s="31">
        <v>1477</v>
      </c>
      <c r="M272" s="32">
        <v>10.7</v>
      </c>
      <c r="N272" s="33">
        <f t="shared" si="14"/>
        <v>5.0935125657510232E-2</v>
      </c>
    </row>
    <row r="273" spans="1:34" x14ac:dyDescent="0.3">
      <c r="A273" s="34" t="s">
        <v>130</v>
      </c>
      <c r="B273" s="16" t="s">
        <v>21</v>
      </c>
      <c r="C273" s="16" t="s">
        <v>131</v>
      </c>
      <c r="D273" s="35">
        <v>14.7</v>
      </c>
      <c r="E273" s="35">
        <v>13.467000000000001</v>
      </c>
      <c r="F273" s="16">
        <v>2015</v>
      </c>
      <c r="G273" s="36">
        <v>8.3000000000000007</v>
      </c>
      <c r="H273" s="28">
        <f t="shared" si="12"/>
        <v>56.462585034013614</v>
      </c>
      <c r="I273" s="30">
        <f t="shared" si="13"/>
        <v>91.612244897959187</v>
      </c>
      <c r="J273" s="44">
        <v>1800</v>
      </c>
      <c r="K273" s="30">
        <v>603</v>
      </c>
      <c r="L273" s="30">
        <v>1964</v>
      </c>
      <c r="M273" s="32">
        <v>11</v>
      </c>
      <c r="N273" s="33">
        <f t="shared" si="14"/>
        <v>5.0895691609977325E-2</v>
      </c>
    </row>
    <row r="274" spans="1:34" x14ac:dyDescent="0.3">
      <c r="A274" s="34" t="s">
        <v>132</v>
      </c>
      <c r="B274" s="16" t="s">
        <v>2</v>
      </c>
      <c r="C274" s="16" t="s">
        <v>133</v>
      </c>
      <c r="D274" s="35">
        <v>230.5</v>
      </c>
      <c r="E274" s="35">
        <v>165</v>
      </c>
      <c r="F274" s="16">
        <v>2015</v>
      </c>
      <c r="G274" s="36">
        <v>133</v>
      </c>
      <c r="H274" s="28">
        <f t="shared" si="12"/>
        <v>57.700650759219087</v>
      </c>
      <c r="I274" s="30">
        <f t="shared" si="13"/>
        <v>71.583514099783073</v>
      </c>
      <c r="J274" s="44">
        <v>1407</v>
      </c>
      <c r="K274" s="30">
        <v>597</v>
      </c>
      <c r="L274" s="30">
        <v>1409</v>
      </c>
      <c r="M274" s="32">
        <v>9.1</v>
      </c>
      <c r="N274" s="33">
        <f t="shared" si="14"/>
        <v>5.0876698009796072E-2</v>
      </c>
    </row>
    <row r="275" spans="1:34" x14ac:dyDescent="0.3">
      <c r="A275" s="34" t="s">
        <v>134</v>
      </c>
      <c r="B275" s="16" t="s">
        <v>128</v>
      </c>
      <c r="C275" s="16" t="s">
        <v>135</v>
      </c>
      <c r="D275" s="35">
        <v>222</v>
      </c>
      <c r="E275" s="35">
        <v>210</v>
      </c>
      <c r="F275" s="16">
        <v>2015</v>
      </c>
      <c r="G275" s="36">
        <v>104</v>
      </c>
      <c r="H275" s="28">
        <f t="shared" si="12"/>
        <v>46.846846846846844</v>
      </c>
      <c r="I275" s="30">
        <f t="shared" si="13"/>
        <v>94.594594594594597</v>
      </c>
      <c r="J275" s="44">
        <v>1862</v>
      </c>
      <c r="K275" s="30">
        <v>510</v>
      </c>
      <c r="L275" s="30">
        <v>2334</v>
      </c>
      <c r="M275" s="32">
        <v>9.1999999999999993</v>
      </c>
      <c r="N275" s="33">
        <f t="shared" si="14"/>
        <v>5.080268238162975E-2</v>
      </c>
    </row>
    <row r="276" spans="1:34" x14ac:dyDescent="0.3">
      <c r="A276" s="27" t="s">
        <v>932</v>
      </c>
      <c r="B276" s="27" t="s">
        <v>128</v>
      </c>
      <c r="C276" s="26" t="s">
        <v>933</v>
      </c>
      <c r="D276" s="29">
        <v>46</v>
      </c>
      <c r="E276" s="29">
        <v>39.040999999999997</v>
      </c>
      <c r="F276" s="27">
        <v>2015</v>
      </c>
      <c r="G276" s="29">
        <v>25.7</v>
      </c>
      <c r="H276" s="28">
        <f t="shared" si="12"/>
        <v>55.869565217391305</v>
      </c>
      <c r="I276" s="30">
        <f t="shared" si="13"/>
        <v>84.871739130434776</v>
      </c>
      <c r="J276" s="31">
        <v>1674</v>
      </c>
      <c r="K276" s="31">
        <v>656</v>
      </c>
      <c r="L276" s="31">
        <v>1695</v>
      </c>
      <c r="M276" s="32">
        <v>16.100000000000001</v>
      </c>
      <c r="N276" s="33">
        <f t="shared" si="14"/>
        <v>5.0699963638252556E-2</v>
      </c>
    </row>
    <row r="277" spans="1:34" x14ac:dyDescent="0.3">
      <c r="A277" s="27" t="s">
        <v>625</v>
      </c>
      <c r="B277" s="27" t="s">
        <v>128</v>
      </c>
      <c r="C277" s="26" t="s">
        <v>626</v>
      </c>
      <c r="D277" s="29">
        <v>8.9</v>
      </c>
      <c r="E277" s="29">
        <v>7.359</v>
      </c>
      <c r="F277" s="27">
        <v>2017</v>
      </c>
      <c r="G277" s="29">
        <v>6.9436</v>
      </c>
      <c r="H277" s="28">
        <f t="shared" si="12"/>
        <v>78.017977528089887</v>
      </c>
      <c r="I277" s="30">
        <f t="shared" si="13"/>
        <v>82.68539325842697</v>
      </c>
      <c r="J277" s="31">
        <v>1631</v>
      </c>
      <c r="K277" s="31">
        <v>638</v>
      </c>
      <c r="L277" s="31">
        <v>1680</v>
      </c>
      <c r="M277" s="32">
        <v>14.7</v>
      </c>
      <c r="N277" s="33">
        <f t="shared" si="14"/>
        <v>5.0696133205657246E-2</v>
      </c>
    </row>
    <row r="278" spans="1:34" x14ac:dyDescent="0.3">
      <c r="A278" s="27" t="s">
        <v>847</v>
      </c>
      <c r="B278" s="27" t="s">
        <v>11</v>
      </c>
      <c r="C278" s="26" t="s">
        <v>848</v>
      </c>
      <c r="D278" s="29">
        <v>12.4</v>
      </c>
      <c r="E278" s="29">
        <v>9</v>
      </c>
      <c r="F278" s="27">
        <v>2015</v>
      </c>
      <c r="G278" s="29">
        <v>7.5709999999999997</v>
      </c>
      <c r="H278" s="28">
        <f t="shared" si="12"/>
        <v>61.056451612903224</v>
      </c>
      <c r="I278" s="30">
        <f t="shared" si="13"/>
        <v>72.58064516129032</v>
      </c>
      <c r="J278" s="31">
        <v>1432</v>
      </c>
      <c r="K278" s="31">
        <v>681</v>
      </c>
      <c r="L278" s="31">
        <v>1249</v>
      </c>
      <c r="M278" s="32">
        <v>15.2</v>
      </c>
      <c r="N278" s="33">
        <f t="shared" si="14"/>
        <v>5.0684808073526759E-2</v>
      </c>
    </row>
    <row r="279" spans="1:34" x14ac:dyDescent="0.3">
      <c r="A279" s="27" t="s">
        <v>721</v>
      </c>
      <c r="B279" s="27" t="s">
        <v>128</v>
      </c>
      <c r="C279" s="26" t="s">
        <v>722</v>
      </c>
      <c r="D279" s="29">
        <v>27</v>
      </c>
      <c r="E279" s="29">
        <v>20.55</v>
      </c>
      <c r="F279" s="27">
        <v>2016</v>
      </c>
      <c r="G279" s="29">
        <v>18.600000000000001</v>
      </c>
      <c r="H279" s="28">
        <f t="shared" si="12"/>
        <v>68.888888888888886</v>
      </c>
      <c r="I279" s="30">
        <f t="shared" si="13"/>
        <v>76.111111111111114</v>
      </c>
      <c r="J279" s="31">
        <v>1502</v>
      </c>
      <c r="K279" s="31">
        <v>622</v>
      </c>
      <c r="L279" s="31">
        <v>1514</v>
      </c>
      <c r="M279" s="32">
        <v>11.6</v>
      </c>
      <c r="N279" s="33">
        <f t="shared" si="14"/>
        <v>5.0673176505400208E-2</v>
      </c>
      <c r="O279" s="9"/>
      <c r="P279" s="10"/>
      <c r="Q279" s="4"/>
      <c r="S279" s="8"/>
      <c r="T279" s="8"/>
      <c r="U279" s="8"/>
      <c r="V279" s="4"/>
      <c r="W279" s="8"/>
      <c r="X279" s="8"/>
      <c r="Y279" s="8"/>
      <c r="Z279" s="8"/>
      <c r="AA279" s="8"/>
      <c r="AB279" s="4"/>
      <c r="AC279" s="8"/>
      <c r="AD279" s="8"/>
      <c r="AE279" s="8"/>
      <c r="AF279" s="8"/>
      <c r="AG279" s="8"/>
      <c r="AH279" s="4"/>
    </row>
    <row r="280" spans="1:34" x14ac:dyDescent="0.3">
      <c r="A280" s="27" t="s">
        <v>894</v>
      </c>
      <c r="B280" s="27" t="s">
        <v>128</v>
      </c>
      <c r="C280" s="26" t="s">
        <v>895</v>
      </c>
      <c r="D280" s="29">
        <v>11.9</v>
      </c>
      <c r="E280" s="29">
        <v>9.8439999999999994</v>
      </c>
      <c r="F280" s="27">
        <v>2015</v>
      </c>
      <c r="G280" s="29">
        <v>6.9539999999999997</v>
      </c>
      <c r="H280" s="28">
        <f t="shared" si="12"/>
        <v>58.436974789915965</v>
      </c>
      <c r="I280" s="30">
        <f t="shared" si="13"/>
        <v>82.722689075630257</v>
      </c>
      <c r="J280" s="31">
        <v>1635</v>
      </c>
      <c r="K280" s="31">
        <v>652</v>
      </c>
      <c r="L280" s="31">
        <v>1658</v>
      </c>
      <c r="M280" s="32">
        <v>15.8</v>
      </c>
      <c r="N280" s="33">
        <f t="shared" si="14"/>
        <v>5.0594916865828905E-2</v>
      </c>
    </row>
    <row r="281" spans="1:34" x14ac:dyDescent="0.3">
      <c r="A281" s="27" t="s">
        <v>803</v>
      </c>
      <c r="B281" s="27" t="s">
        <v>128</v>
      </c>
      <c r="C281" s="26" t="s">
        <v>804</v>
      </c>
      <c r="D281" s="29">
        <v>138.19999999999999</v>
      </c>
      <c r="E281" s="29">
        <v>115.98099999999999</v>
      </c>
      <c r="F281" s="27">
        <v>2015</v>
      </c>
      <c r="G281" s="29">
        <v>87.5</v>
      </c>
      <c r="H281" s="28">
        <f t="shared" si="12"/>
        <v>63.314037626628078</v>
      </c>
      <c r="I281" s="30">
        <f t="shared" si="13"/>
        <v>83.922575976845152</v>
      </c>
      <c r="J281" s="31">
        <v>1660</v>
      </c>
      <c r="K281" s="31">
        <v>652</v>
      </c>
      <c r="L281" s="31">
        <v>1687</v>
      </c>
      <c r="M281" s="32">
        <v>15.7</v>
      </c>
      <c r="N281" s="33">
        <f t="shared" si="14"/>
        <v>5.0555768660750094E-2</v>
      </c>
      <c r="O281" s="9"/>
      <c r="Q281" s="4"/>
      <c r="S281" s="8"/>
      <c r="T281" s="8"/>
      <c r="U281" s="8"/>
      <c r="V281" s="4"/>
      <c r="W281" s="8"/>
      <c r="X281" s="8"/>
      <c r="Y281" s="8"/>
      <c r="Z281" s="8"/>
      <c r="AA281" s="8"/>
      <c r="AB281" s="4"/>
      <c r="AC281" s="8"/>
      <c r="AD281" s="8"/>
      <c r="AE281" s="8"/>
      <c r="AF281" s="8"/>
      <c r="AG281" s="8"/>
      <c r="AH281" s="4"/>
    </row>
    <row r="282" spans="1:34" x14ac:dyDescent="0.3">
      <c r="A282" s="27" t="s">
        <v>998</v>
      </c>
      <c r="B282" s="27" t="s">
        <v>128</v>
      </c>
      <c r="C282" s="26" t="s">
        <v>999</v>
      </c>
      <c r="D282" s="29">
        <v>12.2</v>
      </c>
      <c r="E282" s="29">
        <v>10.272500000000001</v>
      </c>
      <c r="F282" s="27">
        <v>2015</v>
      </c>
      <c r="G282" s="29">
        <v>6.4</v>
      </c>
      <c r="H282" s="28">
        <f t="shared" si="12"/>
        <v>52.459016393442624</v>
      </c>
      <c r="I282" s="30">
        <f t="shared" si="13"/>
        <v>84.200819672131146</v>
      </c>
      <c r="J282" s="31">
        <v>1668</v>
      </c>
      <c r="K282" s="31">
        <v>646</v>
      </c>
      <c r="L282" s="31">
        <v>1712</v>
      </c>
      <c r="M282" s="32">
        <v>14.8</v>
      </c>
      <c r="N282" s="33">
        <f t="shared" si="14"/>
        <v>5.0480107717105004E-2</v>
      </c>
      <c r="O282" s="9"/>
      <c r="P282" s="10"/>
      <c r="Q282" s="4"/>
      <c r="S282" s="8"/>
      <c r="T282" s="8"/>
      <c r="U282" s="8"/>
      <c r="V282" s="4"/>
      <c r="W282" s="8"/>
      <c r="X282" s="8"/>
      <c r="Y282" s="8"/>
      <c r="Z282" s="8"/>
      <c r="AA282" s="8"/>
      <c r="AB282" s="4"/>
      <c r="AC282" s="8"/>
      <c r="AD282" s="8"/>
      <c r="AE282" s="8"/>
      <c r="AF282" s="8"/>
      <c r="AG282" s="8"/>
      <c r="AH282" s="4"/>
    </row>
    <row r="283" spans="1:34" x14ac:dyDescent="0.3">
      <c r="A283" s="34" t="s">
        <v>136</v>
      </c>
      <c r="B283" s="16" t="s">
        <v>10</v>
      </c>
      <c r="C283" s="16" t="s">
        <v>137</v>
      </c>
      <c r="D283" s="35">
        <v>9</v>
      </c>
      <c r="E283" s="35">
        <v>9.44</v>
      </c>
      <c r="F283" s="16">
        <v>2015</v>
      </c>
      <c r="G283" s="36">
        <v>6</v>
      </c>
      <c r="H283" s="28">
        <f t="shared" si="12"/>
        <v>66.666666666666671</v>
      </c>
      <c r="I283" s="30">
        <f t="shared" si="13"/>
        <v>104.88888888888889</v>
      </c>
      <c r="J283" s="47">
        <v>2080</v>
      </c>
      <c r="K283" s="30">
        <v>646</v>
      </c>
      <c r="L283" s="30">
        <v>2256</v>
      </c>
      <c r="M283" s="32">
        <v>19.600000000000001</v>
      </c>
      <c r="N283" s="33">
        <f t="shared" si="14"/>
        <v>5.0427350427350429E-2</v>
      </c>
    </row>
    <row r="284" spans="1:34" x14ac:dyDescent="0.3">
      <c r="A284" s="27" t="s">
        <v>783</v>
      </c>
      <c r="B284" s="27" t="s">
        <v>128</v>
      </c>
      <c r="C284" s="26" t="s">
        <v>784</v>
      </c>
      <c r="D284" s="29">
        <v>5.5</v>
      </c>
      <c r="E284" s="29">
        <v>3.7103329999999999</v>
      </c>
      <c r="F284" s="27">
        <v>2017</v>
      </c>
      <c r="G284" s="29">
        <v>3.6</v>
      </c>
      <c r="H284" s="28">
        <f t="shared" si="12"/>
        <v>65.454545454545453</v>
      </c>
      <c r="I284" s="30">
        <f t="shared" si="13"/>
        <v>67.460599999999999</v>
      </c>
      <c r="J284" s="31">
        <v>1338</v>
      </c>
      <c r="K284" s="31">
        <v>575</v>
      </c>
      <c r="L284" s="31">
        <v>1358</v>
      </c>
      <c r="M284" s="32">
        <v>6.7</v>
      </c>
      <c r="N284" s="33">
        <f t="shared" si="14"/>
        <v>5.0418983557548577E-2</v>
      </c>
    </row>
    <row r="285" spans="1:34" x14ac:dyDescent="0.3">
      <c r="A285" s="34" t="s">
        <v>138</v>
      </c>
      <c r="B285" s="16" t="s">
        <v>7</v>
      </c>
      <c r="C285" s="16" t="s">
        <v>139</v>
      </c>
      <c r="D285" s="35">
        <v>18.5</v>
      </c>
      <c r="E285" s="35">
        <v>10</v>
      </c>
      <c r="F285" s="16">
        <v>2016</v>
      </c>
      <c r="G285" s="36">
        <v>10</v>
      </c>
      <c r="H285" s="28">
        <f t="shared" si="12"/>
        <v>54.054054054054056</v>
      </c>
      <c r="I285" s="30">
        <f t="shared" si="13"/>
        <v>54.054054054054056</v>
      </c>
      <c r="J285" s="44">
        <v>1073</v>
      </c>
      <c r="K285" s="30">
        <v>567</v>
      </c>
      <c r="L285" s="30">
        <v>963</v>
      </c>
      <c r="M285" s="32">
        <v>9.5</v>
      </c>
      <c r="N285" s="33">
        <f t="shared" si="14"/>
        <v>5.0376564822044785E-2</v>
      </c>
    </row>
    <row r="286" spans="1:34" x14ac:dyDescent="0.3">
      <c r="A286" s="27" t="s">
        <v>970</v>
      </c>
      <c r="B286" s="27" t="s">
        <v>22</v>
      </c>
      <c r="C286" s="26" t="s">
        <v>971</v>
      </c>
      <c r="D286" s="29">
        <v>8.9</v>
      </c>
      <c r="E286" s="29">
        <v>4.55</v>
      </c>
      <c r="F286" s="27">
        <v>2014</v>
      </c>
      <c r="G286" s="29">
        <v>4.8</v>
      </c>
      <c r="H286" s="28">
        <f t="shared" si="12"/>
        <v>53.932584269662918</v>
      </c>
      <c r="I286" s="30">
        <f t="shared" si="13"/>
        <v>51.123595505617978</v>
      </c>
      <c r="J286" s="31">
        <v>1015</v>
      </c>
      <c r="K286" s="31">
        <v>574</v>
      </c>
      <c r="L286" s="31">
        <v>867</v>
      </c>
      <c r="M286" s="32">
        <v>10.4</v>
      </c>
      <c r="N286" s="33">
        <f t="shared" si="14"/>
        <v>5.0368074389771408E-2</v>
      </c>
    </row>
    <row r="287" spans="1:34" x14ac:dyDescent="0.3">
      <c r="A287" s="42" t="s">
        <v>436</v>
      </c>
      <c r="B287" s="17" t="s">
        <v>11</v>
      </c>
      <c r="C287" s="17" t="s">
        <v>437</v>
      </c>
      <c r="D287" s="43">
        <v>37.599998474121101</v>
      </c>
      <c r="E287" s="43">
        <v>26.3120002746582</v>
      </c>
      <c r="F287" s="17">
        <v>2017</v>
      </c>
      <c r="G287" s="36">
        <v>23</v>
      </c>
      <c r="H287" s="28">
        <f t="shared" si="12"/>
        <v>61.17021524836013</v>
      </c>
      <c r="I287" s="30">
        <f t="shared" si="13"/>
        <v>69.978726974597947</v>
      </c>
      <c r="J287" s="31">
        <v>1390</v>
      </c>
      <c r="K287" s="30">
        <v>724</v>
      </c>
      <c r="L287" s="30">
        <v>1091</v>
      </c>
      <c r="M287" s="41">
        <v>12.2</v>
      </c>
      <c r="N287" s="33">
        <f t="shared" si="14"/>
        <v>5.0344407895394204E-2</v>
      </c>
    </row>
    <row r="288" spans="1:34" x14ac:dyDescent="0.3">
      <c r="A288" s="27" t="s">
        <v>1012</v>
      </c>
      <c r="B288" s="27" t="s">
        <v>128</v>
      </c>
      <c r="C288" s="26" t="s">
        <v>1013</v>
      </c>
      <c r="D288" s="29">
        <v>35</v>
      </c>
      <c r="E288" s="29">
        <v>35.427999999999997</v>
      </c>
      <c r="F288" s="27">
        <v>2016</v>
      </c>
      <c r="G288" s="29">
        <v>18.2</v>
      </c>
      <c r="H288" s="28">
        <f t="shared" si="12"/>
        <v>52</v>
      </c>
      <c r="I288" s="30">
        <f t="shared" si="13"/>
        <v>101.22285714285714</v>
      </c>
      <c r="J288" s="31">
        <v>2013</v>
      </c>
      <c r="K288" s="31">
        <v>493</v>
      </c>
      <c r="L288" s="31">
        <v>2488</v>
      </c>
      <c r="M288" s="32">
        <v>18</v>
      </c>
      <c r="N288" s="33">
        <f t="shared" si="14"/>
        <v>5.0284578809168971E-2</v>
      </c>
      <c r="O288" s="54"/>
      <c r="P288" s="54"/>
      <c r="Q288" s="54"/>
      <c r="S288" s="54"/>
      <c r="T288" s="54"/>
      <c r="U288" s="54"/>
      <c r="V288" s="54"/>
      <c r="W288" s="54"/>
      <c r="X288" s="54"/>
      <c r="Y288" s="54"/>
      <c r="Z288" s="54"/>
      <c r="AA288" s="54"/>
      <c r="AB288" s="54"/>
      <c r="AC288" s="54"/>
      <c r="AD288" s="54"/>
      <c r="AE288" s="54"/>
      <c r="AF288" s="54"/>
      <c r="AG288" s="54"/>
      <c r="AH288" s="54"/>
    </row>
    <row r="289" spans="1:34" x14ac:dyDescent="0.3">
      <c r="A289" s="27" t="s">
        <v>918</v>
      </c>
      <c r="B289" s="27" t="s">
        <v>128</v>
      </c>
      <c r="C289" s="26" t="s">
        <v>919</v>
      </c>
      <c r="D289" s="29">
        <v>11.4</v>
      </c>
      <c r="E289" s="29">
        <v>9.3870000000000005</v>
      </c>
      <c r="F289" s="27">
        <v>2014</v>
      </c>
      <c r="G289" s="29">
        <v>6.49</v>
      </c>
      <c r="H289" s="28">
        <f t="shared" si="12"/>
        <v>56.929824561403507</v>
      </c>
      <c r="I289" s="30">
        <f t="shared" si="13"/>
        <v>82.34210526315789</v>
      </c>
      <c r="J289" s="31">
        <v>1640</v>
      </c>
      <c r="K289" s="31">
        <v>642</v>
      </c>
      <c r="L289" s="31">
        <v>1679</v>
      </c>
      <c r="M289" s="32">
        <v>15.3</v>
      </c>
      <c r="N289" s="33">
        <f t="shared" si="14"/>
        <v>5.0208600770218229E-2</v>
      </c>
    </row>
    <row r="290" spans="1:34" x14ac:dyDescent="0.3">
      <c r="A290" s="27" t="s">
        <v>914</v>
      </c>
      <c r="B290" s="27" t="s">
        <v>128</v>
      </c>
      <c r="C290" s="26" t="s">
        <v>915</v>
      </c>
      <c r="D290" s="29">
        <v>11.4</v>
      </c>
      <c r="E290" s="29">
        <v>9.2663340000000005</v>
      </c>
      <c r="F290" s="27">
        <v>2014</v>
      </c>
      <c r="G290" s="29">
        <v>6.5</v>
      </c>
      <c r="H290" s="28">
        <f t="shared" si="12"/>
        <v>57.017543859649123</v>
      </c>
      <c r="I290" s="30">
        <f t="shared" si="13"/>
        <v>81.283631578947364</v>
      </c>
      <c r="J290" s="31">
        <v>1621</v>
      </c>
      <c r="K290" s="31">
        <v>635</v>
      </c>
      <c r="L290" s="31">
        <v>1676</v>
      </c>
      <c r="M290" s="32">
        <v>14.1</v>
      </c>
      <c r="N290" s="33">
        <f t="shared" si="14"/>
        <v>5.0144128056105713E-2</v>
      </c>
    </row>
    <row r="291" spans="1:34" x14ac:dyDescent="0.3">
      <c r="A291" s="27" t="s">
        <v>912</v>
      </c>
      <c r="B291" s="27" t="s">
        <v>128</v>
      </c>
      <c r="C291" s="26" t="s">
        <v>913</v>
      </c>
      <c r="D291" s="29">
        <v>11</v>
      </c>
      <c r="E291" s="29">
        <v>8.9559999999999995</v>
      </c>
      <c r="F291" s="27">
        <v>2015</v>
      </c>
      <c r="G291" s="29">
        <v>6.2836999999999996</v>
      </c>
      <c r="H291" s="28">
        <f t="shared" si="12"/>
        <v>57.124545454545455</v>
      </c>
      <c r="I291" s="30">
        <f t="shared" si="13"/>
        <v>81.418181818181822</v>
      </c>
      <c r="J291" s="31">
        <v>1624</v>
      </c>
      <c r="K291" s="31">
        <v>633</v>
      </c>
      <c r="L291" s="31">
        <v>1677</v>
      </c>
      <c r="M291" s="32">
        <v>14.3</v>
      </c>
      <c r="N291" s="33">
        <f t="shared" si="14"/>
        <v>5.0134348410210479E-2</v>
      </c>
    </row>
    <row r="292" spans="1:34" x14ac:dyDescent="0.3">
      <c r="A292" s="34" t="s">
        <v>140</v>
      </c>
      <c r="B292" s="16" t="s">
        <v>0</v>
      </c>
      <c r="C292" s="16" t="s">
        <v>141</v>
      </c>
      <c r="D292" s="35">
        <v>292</v>
      </c>
      <c r="E292" s="35">
        <v>285</v>
      </c>
      <c r="F292" s="16">
        <v>2018</v>
      </c>
      <c r="G292" s="36">
        <v>137.69999999999999</v>
      </c>
      <c r="H292" s="28">
        <f t="shared" si="12"/>
        <v>47.157534246575345</v>
      </c>
      <c r="I292" s="30">
        <f t="shared" si="13"/>
        <v>97.602739726027394</v>
      </c>
      <c r="J292" s="44">
        <v>1948</v>
      </c>
      <c r="K292" s="30">
        <v>527</v>
      </c>
      <c r="L292" s="30">
        <v>2364</v>
      </c>
      <c r="M292" s="32">
        <v>19.100000000000001</v>
      </c>
      <c r="N292" s="33">
        <f t="shared" si="14"/>
        <v>5.0104075834716322E-2</v>
      </c>
    </row>
    <row r="293" spans="1:34" x14ac:dyDescent="0.3">
      <c r="A293" s="27" t="s">
        <v>1002</v>
      </c>
      <c r="B293" s="27" t="s">
        <v>128</v>
      </c>
      <c r="C293" s="26" t="s">
        <v>1003</v>
      </c>
      <c r="D293" s="29">
        <v>12.4</v>
      </c>
      <c r="E293" s="29">
        <v>10.294</v>
      </c>
      <c r="F293" s="27">
        <v>2016</v>
      </c>
      <c r="G293" s="29">
        <v>6.5</v>
      </c>
      <c r="H293" s="28">
        <f t="shared" si="12"/>
        <v>52.41935483870968</v>
      </c>
      <c r="I293" s="30">
        <f t="shared" si="13"/>
        <v>83.016129032258064</v>
      </c>
      <c r="J293" s="31">
        <v>1660</v>
      </c>
      <c r="K293" s="31">
        <v>655</v>
      </c>
      <c r="L293" s="31">
        <v>1679</v>
      </c>
      <c r="M293" s="32">
        <v>15.8</v>
      </c>
      <c r="N293" s="33">
        <f t="shared" si="14"/>
        <v>5.0009716284492807E-2</v>
      </c>
    </row>
    <row r="294" spans="1:34" x14ac:dyDescent="0.3">
      <c r="A294" s="27" t="s">
        <v>771</v>
      </c>
      <c r="B294" s="27" t="s">
        <v>4</v>
      </c>
      <c r="C294" s="26" t="s">
        <v>772</v>
      </c>
      <c r="D294" s="29">
        <v>37.9</v>
      </c>
      <c r="E294" s="29">
        <v>25</v>
      </c>
      <c r="F294" s="27">
        <v>2015</v>
      </c>
      <c r="G294" s="29">
        <v>25</v>
      </c>
      <c r="H294" s="28">
        <f t="shared" si="12"/>
        <v>65.963060686015837</v>
      </c>
      <c r="I294" s="30">
        <f t="shared" si="13"/>
        <v>65.963060686015837</v>
      </c>
      <c r="J294" s="31">
        <v>1320</v>
      </c>
      <c r="K294" s="31">
        <v>754</v>
      </c>
      <c r="L294" s="31">
        <v>816</v>
      </c>
      <c r="M294" s="32">
        <v>17.5</v>
      </c>
      <c r="N294" s="33">
        <f t="shared" si="14"/>
        <v>4.997201567122412E-2</v>
      </c>
    </row>
    <row r="295" spans="1:34" x14ac:dyDescent="0.3">
      <c r="A295" s="27" t="s">
        <v>876</v>
      </c>
      <c r="B295" s="27" t="s">
        <v>128</v>
      </c>
      <c r="C295" s="26" t="s">
        <v>877</v>
      </c>
      <c r="D295" s="29">
        <v>10.9</v>
      </c>
      <c r="E295" s="29">
        <v>8.8406669999999998</v>
      </c>
      <c r="F295" s="27">
        <v>2014</v>
      </c>
      <c r="G295" s="29">
        <v>6.5</v>
      </c>
      <c r="H295" s="28">
        <f t="shared" si="12"/>
        <v>59.633027522935777</v>
      </c>
      <c r="I295" s="30">
        <f t="shared" si="13"/>
        <v>81.107036697247707</v>
      </c>
      <c r="J295" s="31">
        <v>1624</v>
      </c>
      <c r="K295" s="31">
        <v>587</v>
      </c>
      <c r="L295" s="31">
        <v>1769</v>
      </c>
      <c r="M295" s="32">
        <v>13</v>
      </c>
      <c r="N295" s="33">
        <f t="shared" si="14"/>
        <v>4.9942756586975189E-2</v>
      </c>
    </row>
    <row r="296" spans="1:34" x14ac:dyDescent="0.3">
      <c r="A296" s="34" t="s">
        <v>142</v>
      </c>
      <c r="B296" s="16" t="s">
        <v>8</v>
      </c>
      <c r="C296" s="16" t="s">
        <v>143</v>
      </c>
      <c r="D296" s="35">
        <v>40</v>
      </c>
      <c r="E296" s="35">
        <v>25.545999999999999</v>
      </c>
      <c r="F296" s="16">
        <v>2018</v>
      </c>
      <c r="G296" s="36">
        <v>21</v>
      </c>
      <c r="H296" s="28">
        <f t="shared" si="12"/>
        <v>52.5</v>
      </c>
      <c r="I296" s="30">
        <f t="shared" si="13"/>
        <v>63.865000000000002</v>
      </c>
      <c r="J296" s="44">
        <v>1279</v>
      </c>
      <c r="K296" s="30">
        <v>610</v>
      </c>
      <c r="L296" s="30">
        <v>1186</v>
      </c>
      <c r="M296" s="32">
        <v>10.7</v>
      </c>
      <c r="N296" s="33">
        <f t="shared" si="14"/>
        <v>4.993354182955434E-2</v>
      </c>
    </row>
    <row r="297" spans="1:34" x14ac:dyDescent="0.3">
      <c r="A297" s="42" t="s">
        <v>497</v>
      </c>
      <c r="B297" s="17" t="s">
        <v>22</v>
      </c>
      <c r="C297" s="17" t="s">
        <v>498</v>
      </c>
      <c r="D297" s="43">
        <v>11.199999809265099</v>
      </c>
      <c r="E297" s="43">
        <v>6</v>
      </c>
      <c r="F297" s="17">
        <v>2014</v>
      </c>
      <c r="G297" s="36">
        <v>7.9831848144531303</v>
      </c>
      <c r="H297" s="28">
        <f t="shared" si="12"/>
        <v>71.278437057196314</v>
      </c>
      <c r="I297" s="30">
        <f t="shared" si="13"/>
        <v>53.571429483744758</v>
      </c>
      <c r="J297" s="31">
        <v>1073</v>
      </c>
      <c r="K297" s="30">
        <v>595</v>
      </c>
      <c r="L297" s="30">
        <v>878</v>
      </c>
      <c r="M297" s="41">
        <v>11.3</v>
      </c>
      <c r="N297" s="33">
        <f t="shared" si="14"/>
        <v>4.9926774914953176E-2</v>
      </c>
      <c r="O297" s="9"/>
      <c r="P297" s="10"/>
      <c r="Q297" s="4"/>
      <c r="S297" s="8"/>
      <c r="T297" s="8"/>
      <c r="U297" s="8"/>
      <c r="V297" s="4"/>
      <c r="W297" s="8"/>
      <c r="X297" s="8"/>
      <c r="Y297" s="8"/>
      <c r="Z297" s="8"/>
      <c r="AA297" s="8"/>
      <c r="AB297" s="4"/>
      <c r="AC297" s="8"/>
      <c r="AD297" s="8"/>
      <c r="AE297" s="8"/>
      <c r="AF297" s="8"/>
      <c r="AG297" s="8"/>
      <c r="AH297" s="4"/>
    </row>
    <row r="298" spans="1:34" x14ac:dyDescent="0.3">
      <c r="A298" s="27" t="s">
        <v>1006</v>
      </c>
      <c r="B298" s="27" t="s">
        <v>22</v>
      </c>
      <c r="C298" s="26" t="s">
        <v>1007</v>
      </c>
      <c r="D298" s="29">
        <v>15.5</v>
      </c>
      <c r="E298" s="29">
        <v>8</v>
      </c>
      <c r="F298" s="27">
        <v>2015</v>
      </c>
      <c r="G298" s="29">
        <v>8.1</v>
      </c>
      <c r="H298" s="28">
        <f t="shared" si="12"/>
        <v>52.258064516129032</v>
      </c>
      <c r="I298" s="30">
        <f t="shared" si="13"/>
        <v>51.612903225806448</v>
      </c>
      <c r="J298" s="31">
        <v>1034</v>
      </c>
      <c r="K298" s="31">
        <v>575</v>
      </c>
      <c r="L298" s="31">
        <v>874</v>
      </c>
      <c r="M298" s="32">
        <v>10.1</v>
      </c>
      <c r="N298" s="33">
        <f t="shared" si="14"/>
        <v>4.9915767142946273E-2</v>
      </c>
    </row>
    <row r="299" spans="1:34" x14ac:dyDescent="0.3">
      <c r="A299" s="42" t="s">
        <v>144</v>
      </c>
      <c r="B299" s="17" t="s">
        <v>128</v>
      </c>
      <c r="C299" s="17" t="s">
        <v>145</v>
      </c>
      <c r="D299" s="43">
        <v>24</v>
      </c>
      <c r="E299" s="43">
        <v>22.600000381469702</v>
      </c>
      <c r="F299" s="17">
        <v>2015</v>
      </c>
      <c r="G299" s="36">
        <v>14.53</v>
      </c>
      <c r="H299" s="28">
        <f t="shared" si="12"/>
        <v>60.541666666666664</v>
      </c>
      <c r="I299" s="30">
        <f t="shared" si="13"/>
        <v>94.166668256123756</v>
      </c>
      <c r="J299" s="21">
        <v>1888</v>
      </c>
      <c r="K299" s="30">
        <v>804</v>
      </c>
      <c r="L299" s="30">
        <v>1556</v>
      </c>
      <c r="M299" s="41">
        <v>23.4</v>
      </c>
      <c r="N299" s="33">
        <f t="shared" si="14"/>
        <v>4.9876413271251988E-2</v>
      </c>
    </row>
    <row r="300" spans="1:34" x14ac:dyDescent="0.3">
      <c r="A300" s="42" t="s">
        <v>290</v>
      </c>
      <c r="B300" s="17" t="s">
        <v>128</v>
      </c>
      <c r="C300" s="17" t="s">
        <v>291</v>
      </c>
      <c r="D300" s="43">
        <v>11.5</v>
      </c>
      <c r="E300" s="43">
        <v>9.6000003814697301</v>
      </c>
      <c r="F300" s="17">
        <v>2014</v>
      </c>
      <c r="G300" s="36">
        <v>6.4000000953674299</v>
      </c>
      <c r="H300" s="28">
        <f t="shared" si="12"/>
        <v>55.652174742325478</v>
      </c>
      <c r="I300" s="30">
        <f t="shared" si="13"/>
        <v>83.478264186693309</v>
      </c>
      <c r="J300" s="31">
        <v>1674</v>
      </c>
      <c r="K300" s="30">
        <v>568</v>
      </c>
      <c r="L300" s="30">
        <v>1689</v>
      </c>
      <c r="M300" s="41">
        <v>16.600000000000001</v>
      </c>
      <c r="N300" s="33">
        <f t="shared" si="14"/>
        <v>4.9867541330163266E-2</v>
      </c>
      <c r="O300" s="9"/>
      <c r="Q300" s="4"/>
      <c r="S300" s="8"/>
      <c r="T300" s="8"/>
      <c r="U300" s="8"/>
      <c r="V300" s="4"/>
      <c r="W300" s="8"/>
      <c r="X300" s="8"/>
      <c r="Y300" s="8"/>
      <c r="Z300" s="8"/>
      <c r="AA300" s="8"/>
      <c r="AB300" s="4"/>
      <c r="AC300" s="8"/>
      <c r="AD300" s="8"/>
      <c r="AE300" s="8"/>
      <c r="AF300" s="8"/>
      <c r="AG300" s="8"/>
      <c r="AH300" s="4"/>
    </row>
    <row r="301" spans="1:34" x14ac:dyDescent="0.3">
      <c r="A301" s="27" t="s">
        <v>775</v>
      </c>
      <c r="B301" s="27" t="s">
        <v>4</v>
      </c>
      <c r="C301" s="26" t="s">
        <v>776</v>
      </c>
      <c r="D301" s="29">
        <v>16.399999999999999</v>
      </c>
      <c r="E301" s="29">
        <v>17.010000000000002</v>
      </c>
      <c r="F301" s="27">
        <v>2015</v>
      </c>
      <c r="G301" s="29">
        <v>10.81</v>
      </c>
      <c r="H301" s="28">
        <f t="shared" si="12"/>
        <v>65.91463414634147</v>
      </c>
      <c r="I301" s="30">
        <f t="shared" si="13"/>
        <v>103.71951219512195</v>
      </c>
      <c r="J301" s="31">
        <v>2084</v>
      </c>
      <c r="K301" s="31">
        <v>570</v>
      </c>
      <c r="L301" s="31">
        <v>2475</v>
      </c>
      <c r="M301" s="32">
        <v>4.0999999999999996</v>
      </c>
      <c r="N301" s="33">
        <f t="shared" si="14"/>
        <v>4.9769439632975983E-2</v>
      </c>
    </row>
    <row r="302" spans="1:34" x14ac:dyDescent="0.3">
      <c r="A302" s="42" t="s">
        <v>310</v>
      </c>
      <c r="B302" s="17" t="s">
        <v>128</v>
      </c>
      <c r="C302" s="17" t="s">
        <v>311</v>
      </c>
      <c r="D302" s="43">
        <v>11.699999809265099</v>
      </c>
      <c r="E302" s="43">
        <v>9.6000003814697301</v>
      </c>
      <c r="F302" s="17">
        <v>2014</v>
      </c>
      <c r="G302" s="36">
        <v>6.4000000953674299</v>
      </c>
      <c r="H302" s="28">
        <f t="shared" si="12"/>
        <v>54.700856407701316</v>
      </c>
      <c r="I302" s="30">
        <f t="shared" si="13"/>
        <v>82.051286649317703</v>
      </c>
      <c r="J302" s="31">
        <v>1649</v>
      </c>
      <c r="K302" s="30">
        <v>650</v>
      </c>
      <c r="L302" s="30">
        <v>1679</v>
      </c>
      <c r="M302" s="41">
        <v>15</v>
      </c>
      <c r="N302" s="33">
        <f t="shared" si="14"/>
        <v>4.9758209005044088E-2</v>
      </c>
      <c r="O302" s="9"/>
      <c r="P302" s="10"/>
      <c r="Q302" s="4"/>
      <c r="S302" s="8"/>
      <c r="T302" s="8"/>
      <c r="U302" s="8"/>
      <c r="V302" s="4"/>
      <c r="W302" s="8"/>
      <c r="X302" s="8"/>
      <c r="Y302" s="8"/>
      <c r="Z302" s="8"/>
      <c r="AA302" s="8"/>
      <c r="AB302" s="4"/>
      <c r="AC302" s="8"/>
      <c r="AD302" s="8"/>
      <c r="AE302" s="8"/>
      <c r="AF302" s="8"/>
      <c r="AG302" s="8"/>
      <c r="AH302" s="4"/>
    </row>
    <row r="303" spans="1:34" x14ac:dyDescent="0.3">
      <c r="A303" s="27" t="s">
        <v>1071</v>
      </c>
      <c r="B303" s="27" t="s">
        <v>0</v>
      </c>
      <c r="C303" s="26" t="s">
        <v>1072</v>
      </c>
      <c r="D303" s="29">
        <v>62.8</v>
      </c>
      <c r="E303" s="29">
        <v>59.9</v>
      </c>
      <c r="F303" s="27">
        <v>2018</v>
      </c>
      <c r="G303" s="29">
        <v>30</v>
      </c>
      <c r="H303" s="28">
        <f t="shared" si="12"/>
        <v>47.770700636942678</v>
      </c>
      <c r="I303" s="30">
        <f t="shared" si="13"/>
        <v>95.382165605095537</v>
      </c>
      <c r="J303" s="31">
        <v>1917</v>
      </c>
      <c r="K303" s="31">
        <v>609</v>
      </c>
      <c r="L303" s="31">
        <v>2166</v>
      </c>
      <c r="M303" s="32">
        <v>18.3</v>
      </c>
      <c r="N303" s="33">
        <f t="shared" si="14"/>
        <v>4.9755954932235544E-2</v>
      </c>
    </row>
    <row r="304" spans="1:34" x14ac:dyDescent="0.3">
      <c r="A304" s="42" t="s">
        <v>278</v>
      </c>
      <c r="B304" s="17" t="s">
        <v>20</v>
      </c>
      <c r="C304" s="17" t="s">
        <v>279</v>
      </c>
      <c r="D304" s="43">
        <v>11.199999809265099</v>
      </c>
      <c r="E304" s="43">
        <v>10.1000003814697</v>
      </c>
      <c r="F304" s="17">
        <v>2014</v>
      </c>
      <c r="G304" s="36">
        <v>7.5999999046325701</v>
      </c>
      <c r="H304" s="28">
        <f t="shared" si="12"/>
        <v>67.857143161248445</v>
      </c>
      <c r="I304" s="30">
        <f t="shared" si="13"/>
        <v>90.17857637028321</v>
      </c>
      <c r="J304" s="31">
        <v>1817</v>
      </c>
      <c r="K304" s="30">
        <v>884</v>
      </c>
      <c r="L304" s="30">
        <v>1331</v>
      </c>
      <c r="M304" s="41">
        <v>24.7</v>
      </c>
      <c r="N304" s="33">
        <f t="shared" si="14"/>
        <v>4.9630476813584595E-2</v>
      </c>
      <c r="O304" s="9"/>
      <c r="Q304" s="4"/>
      <c r="S304" s="8"/>
      <c r="T304" s="8"/>
      <c r="U304" s="8"/>
      <c r="V304" s="4"/>
      <c r="W304" s="8"/>
      <c r="X304" s="8"/>
      <c r="Y304" s="8"/>
      <c r="Z304" s="8"/>
      <c r="AA304" s="8"/>
      <c r="AB304" s="4"/>
      <c r="AC304" s="8"/>
      <c r="AD304" s="8"/>
      <c r="AE304" s="8"/>
      <c r="AF304" s="8"/>
      <c r="AG304" s="8"/>
      <c r="AH304" s="4"/>
    </row>
    <row r="305" spans="1:34" x14ac:dyDescent="0.3">
      <c r="A305" s="27" t="s">
        <v>1049</v>
      </c>
      <c r="B305" s="27" t="s">
        <v>128</v>
      </c>
      <c r="C305" s="26" t="s">
        <v>1050</v>
      </c>
      <c r="D305" s="29">
        <v>53</v>
      </c>
      <c r="E305" s="29">
        <v>53.792000000000002</v>
      </c>
      <c r="F305" s="27">
        <v>2016</v>
      </c>
      <c r="G305" s="29">
        <v>26.2</v>
      </c>
      <c r="H305" s="28">
        <f t="shared" si="12"/>
        <v>49.433962264150942</v>
      </c>
      <c r="I305" s="30">
        <f t="shared" si="13"/>
        <v>101.4943396226415</v>
      </c>
      <c r="J305" s="31">
        <v>2047</v>
      </c>
      <c r="K305" s="31">
        <v>481</v>
      </c>
      <c r="L305" s="31">
        <v>2564</v>
      </c>
      <c r="M305" s="32">
        <v>19</v>
      </c>
      <c r="N305" s="33">
        <f t="shared" si="14"/>
        <v>4.9581992976375916E-2</v>
      </c>
    </row>
    <row r="306" spans="1:34" ht="28.8" x14ac:dyDescent="0.3">
      <c r="A306" s="34" t="s">
        <v>146</v>
      </c>
      <c r="B306" s="16" t="s">
        <v>5</v>
      </c>
      <c r="C306" s="16" t="s">
        <v>147</v>
      </c>
      <c r="D306" s="35">
        <v>47.5</v>
      </c>
      <c r="E306" s="35">
        <v>44.73</v>
      </c>
      <c r="F306" s="16">
        <v>2016</v>
      </c>
      <c r="G306" s="36">
        <v>33.4</v>
      </c>
      <c r="H306" s="28">
        <f t="shared" si="12"/>
        <v>70.315789473684205</v>
      </c>
      <c r="I306" s="30">
        <f t="shared" si="13"/>
        <v>94.168421052631572</v>
      </c>
      <c r="J306" s="48">
        <v>1900</v>
      </c>
      <c r="K306" s="30">
        <v>818</v>
      </c>
      <c r="L306" s="30">
        <v>1626</v>
      </c>
      <c r="M306" s="31">
        <v>24.2</v>
      </c>
      <c r="N306" s="33">
        <f t="shared" si="14"/>
        <v>4.9562326869806092E-2</v>
      </c>
    </row>
    <row r="307" spans="1:34" x14ac:dyDescent="0.3">
      <c r="A307" s="42" t="s">
        <v>426</v>
      </c>
      <c r="B307" s="17" t="s">
        <v>11</v>
      </c>
      <c r="C307" s="17" t="s">
        <v>427</v>
      </c>
      <c r="D307" s="43">
        <v>53</v>
      </c>
      <c r="E307" s="43">
        <v>37</v>
      </c>
      <c r="F307" s="17">
        <v>2016</v>
      </c>
      <c r="G307" s="36">
        <v>32</v>
      </c>
      <c r="H307" s="28">
        <f t="shared" si="12"/>
        <v>60.377358490566039</v>
      </c>
      <c r="I307" s="30">
        <f t="shared" si="13"/>
        <v>69.811320754716988</v>
      </c>
      <c r="J307" s="31">
        <v>1409</v>
      </c>
      <c r="K307" s="30">
        <v>738</v>
      </c>
      <c r="L307" s="30">
        <v>1075</v>
      </c>
      <c r="M307" s="41">
        <v>13.3</v>
      </c>
      <c r="N307" s="33">
        <f t="shared" si="14"/>
        <v>4.9546714517187361E-2</v>
      </c>
    </row>
    <row r="308" spans="1:34" x14ac:dyDescent="0.3">
      <c r="A308" s="42" t="s">
        <v>479</v>
      </c>
      <c r="B308" s="17" t="s">
        <v>11</v>
      </c>
      <c r="C308" s="17" t="s">
        <v>480</v>
      </c>
      <c r="D308" s="43">
        <v>51.299999237060497</v>
      </c>
      <c r="E308" s="43">
        <v>32</v>
      </c>
      <c r="F308" s="17">
        <v>2015</v>
      </c>
      <c r="G308" s="36">
        <v>29.799999237060501</v>
      </c>
      <c r="H308" s="28">
        <f t="shared" si="12"/>
        <v>58.089667992689137</v>
      </c>
      <c r="I308" s="30">
        <f t="shared" si="13"/>
        <v>62.378168569020836</v>
      </c>
      <c r="J308" s="31">
        <v>1260</v>
      </c>
      <c r="K308" s="30">
        <v>645</v>
      </c>
      <c r="L308" s="30">
        <v>1131</v>
      </c>
      <c r="M308" s="41">
        <v>7.7</v>
      </c>
      <c r="N308" s="33">
        <f t="shared" si="14"/>
        <v>4.9506482991286377E-2</v>
      </c>
      <c r="O308" s="9"/>
      <c r="Q308" s="4"/>
      <c r="S308" s="8"/>
      <c r="T308" s="8"/>
      <c r="U308" s="8"/>
      <c r="V308" s="4"/>
      <c r="W308" s="8"/>
      <c r="X308" s="8"/>
      <c r="Y308" s="8"/>
      <c r="Z308" s="8"/>
      <c r="AA308" s="8"/>
      <c r="AB308" s="4"/>
      <c r="AC308" s="8"/>
      <c r="AD308" s="8"/>
      <c r="AE308" s="8"/>
      <c r="AF308" s="8"/>
      <c r="AG308" s="8"/>
      <c r="AH308" s="4"/>
    </row>
    <row r="309" spans="1:34" x14ac:dyDescent="0.3">
      <c r="A309" s="27" t="s">
        <v>1028</v>
      </c>
      <c r="B309" s="27" t="s">
        <v>0</v>
      </c>
      <c r="C309" s="26" t="s">
        <v>1029</v>
      </c>
      <c r="D309" s="29">
        <v>137.30000000000001</v>
      </c>
      <c r="E309" s="29">
        <v>130.1</v>
      </c>
      <c r="F309" s="27">
        <v>2019</v>
      </c>
      <c r="G309" s="29">
        <v>70</v>
      </c>
      <c r="H309" s="28">
        <f t="shared" si="12"/>
        <v>50.983248361252734</v>
      </c>
      <c r="I309" s="30">
        <f t="shared" si="13"/>
        <v>94.756008739985432</v>
      </c>
      <c r="J309" s="31">
        <v>1918</v>
      </c>
      <c r="K309" s="31">
        <v>609</v>
      </c>
      <c r="L309" s="31">
        <v>2168</v>
      </c>
      <c r="M309" s="32">
        <v>18.2</v>
      </c>
      <c r="N309" s="33">
        <f t="shared" si="14"/>
        <v>4.9403549916572177E-2</v>
      </c>
    </row>
    <row r="310" spans="1:34" x14ac:dyDescent="0.3">
      <c r="A310" s="27" t="s">
        <v>972</v>
      </c>
      <c r="B310" s="27" t="s">
        <v>128</v>
      </c>
      <c r="C310" s="26" t="s">
        <v>973</v>
      </c>
      <c r="D310" s="29">
        <v>12.1</v>
      </c>
      <c r="E310" s="29">
        <v>9.9770000000000003</v>
      </c>
      <c r="F310" s="27">
        <v>2015</v>
      </c>
      <c r="G310" s="29">
        <v>6.5</v>
      </c>
      <c r="H310" s="28">
        <f t="shared" si="12"/>
        <v>53.719008264462808</v>
      </c>
      <c r="I310" s="30">
        <f t="shared" si="13"/>
        <v>82.454545454545453</v>
      </c>
      <c r="J310" s="31">
        <v>1673</v>
      </c>
      <c r="K310" s="31">
        <v>656</v>
      </c>
      <c r="L310" s="31">
        <v>1694</v>
      </c>
      <c r="M310" s="32">
        <v>16.100000000000001</v>
      </c>
      <c r="N310" s="33">
        <f t="shared" si="14"/>
        <v>4.9285442590881919E-2</v>
      </c>
    </row>
    <row r="311" spans="1:34" x14ac:dyDescent="0.3">
      <c r="A311" s="27" t="s">
        <v>916</v>
      </c>
      <c r="B311" s="27" t="s">
        <v>12</v>
      </c>
      <c r="C311" s="26" t="s">
        <v>917</v>
      </c>
      <c r="D311" s="29">
        <v>17.7</v>
      </c>
      <c r="E311" s="29">
        <v>19.978000000000002</v>
      </c>
      <c r="F311" s="27">
        <v>2016</v>
      </c>
      <c r="G311" s="29">
        <v>10.08</v>
      </c>
      <c r="H311" s="28">
        <f t="shared" si="12"/>
        <v>56.949152542372879</v>
      </c>
      <c r="I311" s="30">
        <f t="shared" si="13"/>
        <v>112.87005649717514</v>
      </c>
      <c r="J311" s="31">
        <v>2291</v>
      </c>
      <c r="K311" s="31">
        <v>562</v>
      </c>
      <c r="L311" s="31">
        <v>2704</v>
      </c>
      <c r="M311" s="32">
        <v>19.399999999999999</v>
      </c>
      <c r="N311" s="33">
        <f t="shared" si="14"/>
        <v>4.9266720426527778E-2</v>
      </c>
      <c r="O311" s="9"/>
      <c r="P311" s="10"/>
      <c r="Q311" s="4"/>
      <c r="S311" s="8"/>
      <c r="T311" s="8"/>
      <c r="U311" s="8"/>
      <c r="V311" s="4"/>
      <c r="W311" s="8"/>
      <c r="X311" s="8"/>
      <c r="Y311" s="8"/>
      <c r="Z311" s="8"/>
      <c r="AA311" s="8"/>
      <c r="AB311" s="4"/>
      <c r="AC311" s="8"/>
      <c r="AD311" s="8"/>
      <c r="AE311" s="8"/>
      <c r="AF311" s="8"/>
      <c r="AG311" s="8"/>
      <c r="AH311" s="4"/>
    </row>
    <row r="312" spans="1:34" x14ac:dyDescent="0.3">
      <c r="A312" s="27" t="s">
        <v>1143</v>
      </c>
      <c r="B312" s="27" t="s">
        <v>128</v>
      </c>
      <c r="C312" s="26" t="s">
        <v>1144</v>
      </c>
      <c r="D312" s="29">
        <v>11.3</v>
      </c>
      <c r="E312" s="29">
        <v>7.8780000000000001</v>
      </c>
      <c r="F312" s="27">
        <v>2017</v>
      </c>
      <c r="G312" s="29">
        <v>5</v>
      </c>
      <c r="H312" s="28">
        <f t="shared" si="12"/>
        <v>44.247787610619469</v>
      </c>
      <c r="I312" s="30">
        <f t="shared" si="13"/>
        <v>69.716814159292042</v>
      </c>
      <c r="J312" s="31">
        <v>1416</v>
      </c>
      <c r="K312" s="31">
        <v>554</v>
      </c>
      <c r="L312" s="31">
        <v>1593</v>
      </c>
      <c r="M312" s="32">
        <v>7.6</v>
      </c>
      <c r="N312" s="33">
        <f t="shared" si="14"/>
        <v>4.9235038248087601E-2</v>
      </c>
    </row>
    <row r="313" spans="1:34" x14ac:dyDescent="0.3">
      <c r="A313" s="27" t="s">
        <v>1045</v>
      </c>
      <c r="B313" s="27" t="s">
        <v>128</v>
      </c>
      <c r="C313" s="26" t="s">
        <v>1046</v>
      </c>
      <c r="D313" s="29">
        <v>75.5</v>
      </c>
      <c r="E313" s="29">
        <v>79.347999999999999</v>
      </c>
      <c r="F313" s="27">
        <v>2016</v>
      </c>
      <c r="G313" s="29">
        <v>37.799999999999997</v>
      </c>
      <c r="H313" s="28">
        <f t="shared" si="12"/>
        <v>50.066225165562912</v>
      </c>
      <c r="I313" s="30">
        <f t="shared" si="13"/>
        <v>105.09668874172185</v>
      </c>
      <c r="J313" s="31">
        <v>2136</v>
      </c>
      <c r="K313" s="31">
        <v>479</v>
      </c>
      <c r="L313" s="31">
        <v>2757</v>
      </c>
      <c r="M313" s="32">
        <v>16.600000000000001</v>
      </c>
      <c r="N313" s="33">
        <f t="shared" si="14"/>
        <v>4.9202569635637572E-2</v>
      </c>
    </row>
    <row r="314" spans="1:34" x14ac:dyDescent="0.3">
      <c r="A314" s="42" t="s">
        <v>308</v>
      </c>
      <c r="B314" s="17" t="s">
        <v>128</v>
      </c>
      <c r="C314" s="17" t="s">
        <v>309</v>
      </c>
      <c r="D314" s="43">
        <v>11.3999996185303</v>
      </c>
      <c r="E314" s="43">
        <v>9.2489995956420898</v>
      </c>
      <c r="F314" s="17">
        <v>2014</v>
      </c>
      <c r="G314" s="36">
        <v>6.4800000190734899</v>
      </c>
      <c r="H314" s="28">
        <f t="shared" si="12"/>
        <v>56.842107332534269</v>
      </c>
      <c r="I314" s="30">
        <f t="shared" si="13"/>
        <v>81.131578115214722</v>
      </c>
      <c r="J314" s="31">
        <v>1652</v>
      </c>
      <c r="K314" s="30">
        <v>648</v>
      </c>
      <c r="L314" s="30">
        <v>1684</v>
      </c>
      <c r="M314" s="41">
        <v>15.5</v>
      </c>
      <c r="N314" s="33">
        <f t="shared" si="14"/>
        <v>4.9111124767079128E-2</v>
      </c>
      <c r="O314" s="54"/>
      <c r="P314" s="54"/>
      <c r="Q314" s="54"/>
      <c r="S314" s="54"/>
      <c r="T314" s="54"/>
      <c r="U314" s="54"/>
      <c r="V314" s="54"/>
      <c r="W314" s="54"/>
      <c r="X314" s="54"/>
      <c r="Y314" s="54"/>
      <c r="Z314" s="54"/>
      <c r="AA314" s="54"/>
      <c r="AB314" s="54"/>
      <c r="AC314" s="54"/>
      <c r="AD314" s="54"/>
      <c r="AE314" s="54"/>
      <c r="AF314" s="54"/>
      <c r="AG314" s="54"/>
      <c r="AH314" s="54"/>
    </row>
    <row r="315" spans="1:34" x14ac:dyDescent="0.3">
      <c r="A315" s="27" t="s">
        <v>1010</v>
      </c>
      <c r="B315" s="27" t="s">
        <v>22</v>
      </c>
      <c r="C315" s="26" t="s">
        <v>1011</v>
      </c>
      <c r="D315" s="29">
        <v>9.6</v>
      </c>
      <c r="E315" s="29">
        <v>5.2</v>
      </c>
      <c r="F315" s="27">
        <v>2014</v>
      </c>
      <c r="G315" s="29">
        <v>5</v>
      </c>
      <c r="H315" s="28">
        <f t="shared" si="12"/>
        <v>52.083333333333336</v>
      </c>
      <c r="I315" s="30">
        <f t="shared" si="13"/>
        <v>54.166666666666664</v>
      </c>
      <c r="J315" s="31">
        <v>1103</v>
      </c>
      <c r="K315" s="31">
        <v>585</v>
      </c>
      <c r="L315" s="31">
        <v>973</v>
      </c>
      <c r="M315" s="32">
        <v>11.2</v>
      </c>
      <c r="N315" s="33">
        <f t="shared" si="14"/>
        <v>4.9108491991538224E-2</v>
      </c>
    </row>
    <row r="316" spans="1:34" x14ac:dyDescent="0.3">
      <c r="A316" s="27" t="s">
        <v>1051</v>
      </c>
      <c r="B316" s="27" t="s">
        <v>22</v>
      </c>
      <c r="C316" s="26" t="s">
        <v>1052</v>
      </c>
      <c r="D316" s="29">
        <v>12.2</v>
      </c>
      <c r="E316" s="29">
        <v>6</v>
      </c>
      <c r="F316" s="27">
        <v>2015</v>
      </c>
      <c r="G316" s="29">
        <v>6</v>
      </c>
      <c r="H316" s="28">
        <f t="shared" si="12"/>
        <v>49.180327868852459</v>
      </c>
      <c r="I316" s="30">
        <f t="shared" si="13"/>
        <v>49.180327868852459</v>
      </c>
      <c r="J316" s="31">
        <v>1002</v>
      </c>
      <c r="K316" s="31">
        <v>570</v>
      </c>
      <c r="L316" s="31">
        <v>832</v>
      </c>
      <c r="M316" s="32">
        <v>10.199999999999999</v>
      </c>
      <c r="N316" s="33">
        <f t="shared" si="14"/>
        <v>4.9082163541768919E-2</v>
      </c>
    </row>
    <row r="317" spans="1:34" x14ac:dyDescent="0.3">
      <c r="A317" s="27" t="s">
        <v>910</v>
      </c>
      <c r="B317" s="27" t="s">
        <v>128</v>
      </c>
      <c r="C317" s="26" t="s">
        <v>911</v>
      </c>
      <c r="D317" s="29">
        <v>11.2</v>
      </c>
      <c r="E317" s="29">
        <v>9.09</v>
      </c>
      <c r="F317" s="27">
        <v>2014</v>
      </c>
      <c r="G317" s="29">
        <v>6.4</v>
      </c>
      <c r="H317" s="28">
        <f t="shared" ref="H317:H380" si="15">G317*10^6/(D317*10^4)</f>
        <v>57.142857142857146</v>
      </c>
      <c r="I317" s="30">
        <f t="shared" ref="I317:I380" si="16">E317*10^6/(D317*10^4)</f>
        <v>81.160714285714292</v>
      </c>
      <c r="J317" s="31">
        <v>1656</v>
      </c>
      <c r="K317" s="31">
        <v>638</v>
      </c>
      <c r="L317" s="31">
        <v>1707</v>
      </c>
      <c r="M317" s="32">
        <v>14.2</v>
      </c>
      <c r="N317" s="33">
        <f t="shared" ref="N317:N380" si="17">I317/J317</f>
        <v>4.9010093167701864E-2</v>
      </c>
      <c r="O317" s="54"/>
      <c r="Q317" s="54"/>
      <c r="S317" s="54"/>
      <c r="T317" s="54"/>
      <c r="U317" s="54"/>
      <c r="V317" s="54"/>
      <c r="W317" s="54"/>
      <c r="X317" s="54"/>
      <c r="Y317" s="54"/>
      <c r="Z317" s="54"/>
      <c r="AA317" s="54"/>
      <c r="AB317" s="54"/>
      <c r="AC317" s="54"/>
      <c r="AD317" s="54"/>
      <c r="AE317" s="54"/>
      <c r="AF317" s="54"/>
      <c r="AG317" s="54"/>
      <c r="AH317" s="54"/>
    </row>
    <row r="318" spans="1:34" x14ac:dyDescent="0.3">
      <c r="A318" s="34" t="s">
        <v>148</v>
      </c>
      <c r="B318" s="16" t="s">
        <v>14</v>
      </c>
      <c r="C318" s="16" t="s">
        <v>149</v>
      </c>
      <c r="D318" s="35">
        <v>7.8</v>
      </c>
      <c r="E318" s="35">
        <v>6.4749999999999996</v>
      </c>
      <c r="F318" s="16">
        <v>2014</v>
      </c>
      <c r="G318" s="36">
        <v>5</v>
      </c>
      <c r="H318" s="28">
        <f t="shared" si="15"/>
        <v>64.102564102564102</v>
      </c>
      <c r="I318" s="30">
        <f t="shared" si="16"/>
        <v>83.012820512820511</v>
      </c>
      <c r="J318" s="48">
        <v>1694</v>
      </c>
      <c r="K318" s="30">
        <v>963</v>
      </c>
      <c r="L318" s="30">
        <v>942</v>
      </c>
      <c r="M318" s="31">
        <v>25.7</v>
      </c>
      <c r="N318" s="33">
        <f t="shared" si="17"/>
        <v>4.900402627675355E-2</v>
      </c>
    </row>
    <row r="319" spans="1:34" x14ac:dyDescent="0.3">
      <c r="A319" s="27" t="s">
        <v>841</v>
      </c>
      <c r="B319" s="27" t="s">
        <v>21</v>
      </c>
      <c r="C319" s="26" t="s">
        <v>842</v>
      </c>
      <c r="D319" s="29">
        <v>32.1</v>
      </c>
      <c r="E319" s="29">
        <v>27.5</v>
      </c>
      <c r="F319" s="27">
        <v>2017</v>
      </c>
      <c r="G319" s="29">
        <v>19.7</v>
      </c>
      <c r="H319" s="28">
        <f t="shared" si="15"/>
        <v>61.370716510903428</v>
      </c>
      <c r="I319" s="30">
        <f t="shared" si="16"/>
        <v>85.669781931464172</v>
      </c>
      <c r="J319" s="31">
        <v>1752</v>
      </c>
      <c r="K319" s="31">
        <v>601</v>
      </c>
      <c r="L319" s="31">
        <v>1875</v>
      </c>
      <c r="M319" s="32">
        <v>13.2</v>
      </c>
      <c r="N319" s="33">
        <f t="shared" si="17"/>
        <v>4.8898277358141652E-2</v>
      </c>
    </row>
    <row r="320" spans="1:34" x14ac:dyDescent="0.3">
      <c r="A320" s="27" t="s">
        <v>944</v>
      </c>
      <c r="B320" s="27" t="s">
        <v>128</v>
      </c>
      <c r="C320" s="26" t="s">
        <v>945</v>
      </c>
      <c r="D320" s="29">
        <v>11.6</v>
      </c>
      <c r="E320" s="29">
        <v>9.2513330000000007</v>
      </c>
      <c r="F320" s="27">
        <v>2014</v>
      </c>
      <c r="G320" s="29">
        <v>6.4</v>
      </c>
      <c r="H320" s="28">
        <f t="shared" si="15"/>
        <v>55.172413793103445</v>
      </c>
      <c r="I320" s="30">
        <f t="shared" si="16"/>
        <v>79.752870689655168</v>
      </c>
      <c r="J320" s="31">
        <v>1631</v>
      </c>
      <c r="K320" s="31">
        <v>635</v>
      </c>
      <c r="L320" s="31">
        <v>1688</v>
      </c>
      <c r="M320" s="32">
        <v>14.2</v>
      </c>
      <c r="N320" s="33">
        <f t="shared" si="17"/>
        <v>4.8898142666863993E-2</v>
      </c>
    </row>
    <row r="321" spans="1:34" x14ac:dyDescent="0.3">
      <c r="A321" s="42" t="s">
        <v>372</v>
      </c>
      <c r="B321" s="17" t="s">
        <v>11</v>
      </c>
      <c r="C321" s="17" t="s">
        <v>373</v>
      </c>
      <c r="D321" s="43">
        <v>2.0999999046325701</v>
      </c>
      <c r="E321" s="43">
        <v>1.5329999923706099</v>
      </c>
      <c r="F321" s="17">
        <v>2014</v>
      </c>
      <c r="G321" s="36">
        <v>1.20000004768372</v>
      </c>
      <c r="H321" s="28">
        <f t="shared" si="15"/>
        <v>57.142862008542799</v>
      </c>
      <c r="I321" s="30">
        <f t="shared" si="16"/>
        <v>73.000002951849353</v>
      </c>
      <c r="J321" s="31">
        <v>1497</v>
      </c>
      <c r="K321" s="30">
        <v>708</v>
      </c>
      <c r="L321" s="30">
        <v>1241</v>
      </c>
      <c r="M321" s="41">
        <v>18.3</v>
      </c>
      <c r="N321" s="33">
        <f t="shared" si="17"/>
        <v>4.8764197028623481E-2</v>
      </c>
      <c r="O321" s="54"/>
      <c r="Q321" s="54"/>
      <c r="S321" s="54"/>
      <c r="T321" s="54"/>
      <c r="U321" s="54"/>
      <c r="V321" s="54"/>
      <c r="W321" s="54"/>
      <c r="X321" s="54"/>
      <c r="Y321" s="54"/>
      <c r="Z321" s="54"/>
      <c r="AA321" s="54"/>
      <c r="AB321" s="54"/>
      <c r="AC321" s="54"/>
      <c r="AD321" s="54"/>
      <c r="AE321" s="54"/>
      <c r="AF321" s="54"/>
      <c r="AG321" s="54"/>
      <c r="AH321" s="54"/>
    </row>
    <row r="322" spans="1:34" x14ac:dyDescent="0.3">
      <c r="A322" s="42" t="s">
        <v>262</v>
      </c>
      <c r="B322" s="17" t="s">
        <v>12</v>
      </c>
      <c r="C322" s="17" t="s">
        <v>263</v>
      </c>
      <c r="D322" s="43">
        <v>140.30000305175801</v>
      </c>
      <c r="E322" s="43">
        <v>145</v>
      </c>
      <c r="F322" s="17">
        <v>2017</v>
      </c>
      <c r="G322" s="36">
        <v>65</v>
      </c>
      <c r="H322" s="28">
        <f t="shared" si="15"/>
        <v>46.329293361469759</v>
      </c>
      <c r="I322" s="30">
        <f t="shared" si="16"/>
        <v>103.34996211404793</v>
      </c>
      <c r="J322" s="31">
        <v>2124</v>
      </c>
      <c r="K322" s="30">
        <v>577</v>
      </c>
      <c r="L322" s="30">
        <v>2473</v>
      </c>
      <c r="M322" s="41">
        <v>17.5</v>
      </c>
      <c r="N322" s="33">
        <f t="shared" si="17"/>
        <v>4.8658174253318233E-2</v>
      </c>
    </row>
    <row r="323" spans="1:34" x14ac:dyDescent="0.3">
      <c r="A323" s="27" t="s">
        <v>605</v>
      </c>
      <c r="B323" s="27" t="s">
        <v>128</v>
      </c>
      <c r="C323" s="26" t="s">
        <v>606</v>
      </c>
      <c r="D323" s="29">
        <v>6</v>
      </c>
      <c r="E323" s="29">
        <v>4.8019999999999996</v>
      </c>
      <c r="F323" s="27">
        <v>2017</v>
      </c>
      <c r="G323" s="29">
        <v>5</v>
      </c>
      <c r="H323" s="28">
        <f t="shared" si="15"/>
        <v>83.333333333333329</v>
      </c>
      <c r="I323" s="30">
        <f t="shared" si="16"/>
        <v>80.033333333333331</v>
      </c>
      <c r="J323" s="31">
        <v>1648</v>
      </c>
      <c r="K323" s="31">
        <v>644</v>
      </c>
      <c r="L323" s="31">
        <v>1690</v>
      </c>
      <c r="M323" s="32">
        <v>15.4</v>
      </c>
      <c r="N323" s="33">
        <f t="shared" si="17"/>
        <v>4.8563915857605174E-2</v>
      </c>
      <c r="O323" s="54"/>
      <c r="P323" s="54"/>
      <c r="Q323" s="54"/>
      <c r="S323" s="54"/>
      <c r="T323" s="54"/>
      <c r="U323" s="54"/>
      <c r="V323" s="54"/>
      <c r="W323" s="54"/>
      <c r="X323" s="54"/>
      <c r="Y323" s="54"/>
      <c r="Z323" s="54"/>
      <c r="AA323" s="54"/>
      <c r="AB323" s="54"/>
      <c r="AC323" s="54"/>
      <c r="AD323" s="54"/>
      <c r="AE323" s="54"/>
      <c r="AF323" s="54"/>
      <c r="AG323" s="54"/>
      <c r="AH323" s="54"/>
    </row>
    <row r="324" spans="1:34" x14ac:dyDescent="0.3">
      <c r="A324" s="27" t="s">
        <v>1117</v>
      </c>
      <c r="B324" s="27" t="s">
        <v>128</v>
      </c>
      <c r="C324" s="26" t="s">
        <v>1118</v>
      </c>
      <c r="D324" s="29">
        <v>121.9</v>
      </c>
      <c r="E324" s="29">
        <v>129.2895</v>
      </c>
      <c r="F324" s="27">
        <v>2014</v>
      </c>
      <c r="G324" s="29">
        <v>55</v>
      </c>
      <c r="H324" s="28">
        <f t="shared" si="15"/>
        <v>45.118949958982775</v>
      </c>
      <c r="I324" s="30">
        <f t="shared" si="16"/>
        <v>106.06193601312552</v>
      </c>
      <c r="J324" s="31">
        <v>2186</v>
      </c>
      <c r="K324" s="31">
        <v>421</v>
      </c>
      <c r="L324" s="31">
        <v>2979</v>
      </c>
      <c r="M324" s="32">
        <v>16.600000000000001</v>
      </c>
      <c r="N324" s="33">
        <f t="shared" si="17"/>
        <v>4.8518726446992462E-2</v>
      </c>
    </row>
    <row r="325" spans="1:34" x14ac:dyDescent="0.3">
      <c r="A325" s="27" t="s">
        <v>1055</v>
      </c>
      <c r="B325" s="27" t="s">
        <v>128</v>
      </c>
      <c r="C325" s="26" t="s">
        <v>1056</v>
      </c>
      <c r="D325" s="29">
        <v>104.2</v>
      </c>
      <c r="E325" s="29">
        <v>110.367</v>
      </c>
      <c r="F325" s="27">
        <v>2016</v>
      </c>
      <c r="G325" s="29">
        <v>51.1</v>
      </c>
      <c r="H325" s="28">
        <f t="shared" si="15"/>
        <v>49.04030710172745</v>
      </c>
      <c r="I325" s="30">
        <f t="shared" si="16"/>
        <v>105.91842610364684</v>
      </c>
      <c r="J325" s="31">
        <v>2185</v>
      </c>
      <c r="K325" s="31">
        <v>422</v>
      </c>
      <c r="L325" s="31">
        <v>2965</v>
      </c>
      <c r="M325" s="32">
        <v>16.399999999999999</v>
      </c>
      <c r="N325" s="33">
        <f t="shared" si="17"/>
        <v>4.8475252221348665E-2</v>
      </c>
      <c r="O325" s="54"/>
      <c r="Q325" s="54"/>
      <c r="S325" s="54"/>
      <c r="T325" s="54"/>
      <c r="U325" s="54"/>
      <c r="V325" s="54"/>
      <c r="W325" s="54"/>
      <c r="X325" s="54"/>
      <c r="Y325" s="54"/>
      <c r="Z325" s="54"/>
      <c r="AA325" s="54"/>
      <c r="AB325" s="54"/>
      <c r="AC325" s="54"/>
      <c r="AD325" s="54"/>
      <c r="AE325" s="54"/>
      <c r="AF325" s="54"/>
      <c r="AG325" s="54"/>
      <c r="AH325" s="54"/>
    </row>
    <row r="326" spans="1:34" x14ac:dyDescent="0.3">
      <c r="A326" s="27" t="s">
        <v>888</v>
      </c>
      <c r="B326" s="27" t="s">
        <v>9</v>
      </c>
      <c r="C326" s="26" t="s">
        <v>889</v>
      </c>
      <c r="D326" s="29">
        <v>574.70000000000005</v>
      </c>
      <c r="E326" s="29">
        <v>525</v>
      </c>
      <c r="F326" s="27">
        <v>2019</v>
      </c>
      <c r="G326" s="29">
        <v>337.5</v>
      </c>
      <c r="H326" s="28">
        <f t="shared" si="15"/>
        <v>58.726291978423525</v>
      </c>
      <c r="I326" s="30">
        <f t="shared" si="16"/>
        <v>91.352009744214371</v>
      </c>
      <c r="J326" s="31">
        <v>1886</v>
      </c>
      <c r="K326" s="31">
        <v>893</v>
      </c>
      <c r="L326" s="31">
        <v>1456</v>
      </c>
      <c r="M326" s="32">
        <v>24.4</v>
      </c>
      <c r="N326" s="33">
        <f t="shared" si="17"/>
        <v>4.8436908666073371E-2</v>
      </c>
    </row>
    <row r="327" spans="1:34" x14ac:dyDescent="0.3">
      <c r="A327" s="42" t="s">
        <v>344</v>
      </c>
      <c r="B327" s="17" t="s">
        <v>6</v>
      </c>
      <c r="C327" s="17" t="s">
        <v>345</v>
      </c>
      <c r="D327" s="43">
        <v>13.699999809265099</v>
      </c>
      <c r="E327" s="43">
        <v>10.5</v>
      </c>
      <c r="F327" s="17">
        <v>2014</v>
      </c>
      <c r="G327" s="36">
        <v>6.9920001029968297</v>
      </c>
      <c r="H327" s="28">
        <f t="shared" si="15"/>
        <v>51.036497812709804</v>
      </c>
      <c r="I327" s="30">
        <f t="shared" si="16"/>
        <v>76.642336833457563</v>
      </c>
      <c r="J327" s="31">
        <v>1583</v>
      </c>
      <c r="K327" s="30">
        <v>562</v>
      </c>
      <c r="L327" s="30">
        <v>1824</v>
      </c>
      <c r="M327" s="41">
        <v>14.3</v>
      </c>
      <c r="N327" s="33">
        <f t="shared" si="17"/>
        <v>4.8415879237812737E-2</v>
      </c>
    </row>
    <row r="328" spans="1:34" x14ac:dyDescent="0.3">
      <c r="A328" s="42" t="s">
        <v>256</v>
      </c>
      <c r="B328" s="17" t="s">
        <v>10</v>
      </c>
      <c r="C328" s="17" t="s">
        <v>257</v>
      </c>
      <c r="D328" s="43">
        <v>9.1999998092651403</v>
      </c>
      <c r="E328" s="43">
        <v>9.8500003814697301</v>
      </c>
      <c r="F328" s="17">
        <v>2015</v>
      </c>
      <c r="G328" s="36">
        <v>6</v>
      </c>
      <c r="H328" s="28">
        <f t="shared" si="15"/>
        <v>65.217392656438079</v>
      </c>
      <c r="I328" s="30">
        <f t="shared" si="16"/>
        <v>107.06522375739604</v>
      </c>
      <c r="J328" s="31">
        <v>2215</v>
      </c>
      <c r="K328" s="30">
        <v>623</v>
      </c>
      <c r="L328" s="30">
        <v>2483</v>
      </c>
      <c r="M328" s="41">
        <v>19.899999999999999</v>
      </c>
      <c r="N328" s="33">
        <f t="shared" si="17"/>
        <v>4.8336444134264578E-2</v>
      </c>
      <c r="O328" s="9"/>
      <c r="P328" s="10"/>
      <c r="Q328" s="4"/>
      <c r="S328" s="8"/>
      <c r="T328" s="8"/>
      <c r="U328" s="8"/>
      <c r="V328" s="4"/>
      <c r="W328" s="8"/>
      <c r="X328" s="8"/>
      <c r="Y328" s="8"/>
      <c r="Z328" s="8"/>
      <c r="AA328" s="8"/>
      <c r="AB328" s="4"/>
      <c r="AC328" s="8"/>
      <c r="AD328" s="8"/>
      <c r="AE328" s="8"/>
      <c r="AF328" s="8"/>
      <c r="AG328" s="8"/>
      <c r="AH328" s="4"/>
    </row>
    <row r="329" spans="1:34" x14ac:dyDescent="0.3">
      <c r="A329" s="27" t="s">
        <v>1018</v>
      </c>
      <c r="B329" s="27" t="s">
        <v>22</v>
      </c>
      <c r="C329" s="26" t="s">
        <v>1019</v>
      </c>
      <c r="D329" s="29">
        <v>7.4</v>
      </c>
      <c r="E329" s="29">
        <v>3.4750000000000001</v>
      </c>
      <c r="F329" s="27">
        <v>2014</v>
      </c>
      <c r="G329" s="29">
        <v>3.8</v>
      </c>
      <c r="H329" s="28">
        <f t="shared" si="15"/>
        <v>51.351351351351354</v>
      </c>
      <c r="I329" s="30">
        <f t="shared" si="16"/>
        <v>46.95945945945946</v>
      </c>
      <c r="J329" s="31">
        <v>973</v>
      </c>
      <c r="K329" s="31">
        <v>564</v>
      </c>
      <c r="L329" s="31">
        <v>800</v>
      </c>
      <c r="M329" s="32">
        <v>9.6999999999999993</v>
      </c>
      <c r="N329" s="33">
        <f t="shared" si="17"/>
        <v>4.8262548262548263E-2</v>
      </c>
    </row>
    <row r="330" spans="1:34" x14ac:dyDescent="0.3">
      <c r="A330" s="27" t="s">
        <v>938</v>
      </c>
      <c r="B330" s="27" t="s">
        <v>128</v>
      </c>
      <c r="C330" s="26" t="s">
        <v>939</v>
      </c>
      <c r="D330" s="29">
        <v>11.7</v>
      </c>
      <c r="E330" s="29">
        <v>9.3859999999999992</v>
      </c>
      <c r="F330" s="27">
        <v>2016</v>
      </c>
      <c r="G330" s="29">
        <v>6.5</v>
      </c>
      <c r="H330" s="28">
        <f t="shared" si="15"/>
        <v>55.555555555555557</v>
      </c>
      <c r="I330" s="30">
        <f t="shared" si="16"/>
        <v>80.222222222222229</v>
      </c>
      <c r="J330" s="31">
        <v>1663</v>
      </c>
      <c r="K330" s="31">
        <v>660</v>
      </c>
      <c r="L330" s="31">
        <v>1676</v>
      </c>
      <c r="M330" s="32">
        <v>17</v>
      </c>
      <c r="N330" s="33">
        <f t="shared" si="17"/>
        <v>4.8239460145653779E-2</v>
      </c>
    </row>
    <row r="331" spans="1:34" x14ac:dyDescent="0.3">
      <c r="A331" s="27" t="s">
        <v>689</v>
      </c>
      <c r="B331" s="27" t="s">
        <v>128</v>
      </c>
      <c r="C331" s="26" t="s">
        <v>690</v>
      </c>
      <c r="D331" s="29">
        <v>9.9</v>
      </c>
      <c r="E331" s="29">
        <v>8</v>
      </c>
      <c r="F331" s="27">
        <v>2016</v>
      </c>
      <c r="G331" s="29">
        <v>7.0083000000000002</v>
      </c>
      <c r="H331" s="28">
        <f t="shared" si="15"/>
        <v>70.790909090909096</v>
      </c>
      <c r="I331" s="30">
        <f t="shared" si="16"/>
        <v>80.808080808080803</v>
      </c>
      <c r="J331" s="31">
        <v>1677</v>
      </c>
      <c r="K331" s="31">
        <v>655</v>
      </c>
      <c r="L331" s="31">
        <v>1699</v>
      </c>
      <c r="M331" s="32">
        <v>16.100000000000001</v>
      </c>
      <c r="N331" s="33">
        <f t="shared" si="17"/>
        <v>4.8186094697722601E-2</v>
      </c>
    </row>
    <row r="332" spans="1:34" x14ac:dyDescent="0.3">
      <c r="A332" s="27" t="s">
        <v>1032</v>
      </c>
      <c r="B332" s="27" t="s">
        <v>128</v>
      </c>
      <c r="C332" s="26" t="s">
        <v>1033</v>
      </c>
      <c r="D332" s="29">
        <v>12.8</v>
      </c>
      <c r="E332" s="29">
        <v>10.054</v>
      </c>
      <c r="F332" s="27">
        <v>2015</v>
      </c>
      <c r="G332" s="29">
        <v>6.5</v>
      </c>
      <c r="H332" s="28">
        <f t="shared" si="15"/>
        <v>50.78125</v>
      </c>
      <c r="I332" s="30">
        <f t="shared" si="16"/>
        <v>78.546875</v>
      </c>
      <c r="J332" s="31">
        <v>1632</v>
      </c>
      <c r="K332" s="31">
        <v>636</v>
      </c>
      <c r="L332" s="31">
        <v>1684</v>
      </c>
      <c r="M332" s="32">
        <v>14.9</v>
      </c>
      <c r="N332" s="33">
        <f t="shared" si="17"/>
        <v>4.8129212622549017E-2</v>
      </c>
    </row>
    <row r="333" spans="1:34" x14ac:dyDescent="0.3">
      <c r="A333" s="27" t="s">
        <v>890</v>
      </c>
      <c r="B333" s="27" t="s">
        <v>128</v>
      </c>
      <c r="C333" s="26" t="s">
        <v>891</v>
      </c>
      <c r="D333" s="29">
        <v>10.1</v>
      </c>
      <c r="E333" s="29">
        <v>6.9493330000000002</v>
      </c>
      <c r="F333" s="27">
        <v>2014</v>
      </c>
      <c r="G333" s="29">
        <v>5.9285930000000002</v>
      </c>
      <c r="H333" s="28">
        <f t="shared" si="15"/>
        <v>58.698940594059408</v>
      </c>
      <c r="I333" s="30">
        <f t="shared" si="16"/>
        <v>68.805277227722769</v>
      </c>
      <c r="J333" s="31">
        <v>1431</v>
      </c>
      <c r="K333" s="31">
        <v>571</v>
      </c>
      <c r="L333" s="31">
        <v>1546</v>
      </c>
      <c r="M333" s="32">
        <v>8.1999999999999993</v>
      </c>
      <c r="N333" s="33">
        <f t="shared" si="17"/>
        <v>4.8081954736354134E-2</v>
      </c>
    </row>
    <row r="334" spans="1:34" x14ac:dyDescent="0.3">
      <c r="A334" s="27" t="s">
        <v>924</v>
      </c>
      <c r="B334" s="27" t="s">
        <v>128</v>
      </c>
      <c r="C334" s="26" t="s">
        <v>925</v>
      </c>
      <c r="D334" s="29">
        <v>9.9</v>
      </c>
      <c r="E334" s="29">
        <v>7.8644999999999996</v>
      </c>
      <c r="F334" s="27">
        <v>2014</v>
      </c>
      <c r="G334" s="29">
        <v>5.6</v>
      </c>
      <c r="H334" s="28">
        <f t="shared" si="15"/>
        <v>56.565656565656568</v>
      </c>
      <c r="I334" s="30">
        <f t="shared" si="16"/>
        <v>79.439393939393938</v>
      </c>
      <c r="J334" s="31">
        <v>1654</v>
      </c>
      <c r="K334" s="31">
        <v>653</v>
      </c>
      <c r="L334" s="31">
        <v>1678</v>
      </c>
      <c r="M334" s="32">
        <v>15.9</v>
      </c>
      <c r="N334" s="33">
        <f t="shared" si="17"/>
        <v>4.802865413506284E-2</v>
      </c>
    </row>
    <row r="335" spans="1:34" x14ac:dyDescent="0.3">
      <c r="A335" s="27" t="s">
        <v>956</v>
      </c>
      <c r="B335" s="27" t="s">
        <v>128</v>
      </c>
      <c r="C335" s="26" t="s">
        <v>957</v>
      </c>
      <c r="D335" s="29">
        <v>11.9</v>
      </c>
      <c r="E335" s="29">
        <v>9.4220000000000006</v>
      </c>
      <c r="F335" s="27">
        <v>2015</v>
      </c>
      <c r="G335" s="29">
        <v>6.5</v>
      </c>
      <c r="H335" s="28">
        <f t="shared" si="15"/>
        <v>54.621848739495796</v>
      </c>
      <c r="I335" s="30">
        <f t="shared" si="16"/>
        <v>79.17647058823529</v>
      </c>
      <c r="J335" s="31">
        <v>1649</v>
      </c>
      <c r="K335" s="31">
        <v>649</v>
      </c>
      <c r="L335" s="31">
        <v>1684</v>
      </c>
      <c r="M335" s="32">
        <v>14.7</v>
      </c>
      <c r="N335" s="33">
        <f t="shared" si="17"/>
        <v>4.8014839653265792E-2</v>
      </c>
    </row>
    <row r="336" spans="1:34" x14ac:dyDescent="0.3">
      <c r="A336" s="42" t="s">
        <v>342</v>
      </c>
      <c r="B336" s="17" t="s">
        <v>6</v>
      </c>
      <c r="C336" s="17" t="s">
        <v>343</v>
      </c>
      <c r="D336" s="43">
        <v>15.5</v>
      </c>
      <c r="E336" s="43">
        <v>11.800000190734901</v>
      </c>
      <c r="F336" s="17">
        <v>2015</v>
      </c>
      <c r="G336" s="36">
        <v>7.125</v>
      </c>
      <c r="H336" s="28">
        <f t="shared" si="15"/>
        <v>45.967741935483872</v>
      </c>
      <c r="I336" s="30">
        <f t="shared" si="16"/>
        <v>76.129033488612265</v>
      </c>
      <c r="J336" s="31">
        <v>1586</v>
      </c>
      <c r="K336" s="30">
        <v>558</v>
      </c>
      <c r="L336" s="30">
        <v>1830</v>
      </c>
      <c r="M336" s="41">
        <v>13.7</v>
      </c>
      <c r="N336" s="33">
        <f t="shared" si="17"/>
        <v>4.8000651632164104E-2</v>
      </c>
    </row>
    <row r="337" spans="1:34" x14ac:dyDescent="0.3">
      <c r="A337" s="34" t="s">
        <v>150</v>
      </c>
      <c r="B337" s="16" t="s">
        <v>128</v>
      </c>
      <c r="C337" s="16" t="s">
        <v>151</v>
      </c>
      <c r="D337" s="35">
        <v>46.8</v>
      </c>
      <c r="E337" s="35">
        <v>37</v>
      </c>
      <c r="F337" s="16">
        <v>2015</v>
      </c>
      <c r="G337" s="36">
        <v>28</v>
      </c>
      <c r="H337" s="28">
        <f t="shared" si="15"/>
        <v>59.82905982905983</v>
      </c>
      <c r="I337" s="30">
        <f t="shared" si="16"/>
        <v>79.059829059829056</v>
      </c>
      <c r="J337" s="48">
        <v>1650</v>
      </c>
      <c r="K337" s="30">
        <v>649</v>
      </c>
      <c r="L337" s="30">
        <v>1680</v>
      </c>
      <c r="M337" s="31">
        <v>15</v>
      </c>
      <c r="N337" s="33">
        <f t="shared" si="17"/>
        <v>4.7915047915047915E-2</v>
      </c>
      <c r="O337" s="9"/>
      <c r="P337" s="10"/>
      <c r="Q337" s="4"/>
      <c r="S337" s="8"/>
      <c r="T337" s="8"/>
      <c r="U337" s="8"/>
      <c r="V337" s="4"/>
      <c r="W337" s="8"/>
      <c r="X337" s="8"/>
      <c r="Y337" s="8"/>
      <c r="Z337" s="8"/>
      <c r="AA337" s="8"/>
      <c r="AB337" s="4"/>
      <c r="AC337" s="8"/>
      <c r="AD337" s="8"/>
      <c r="AE337" s="8"/>
      <c r="AF337" s="8"/>
      <c r="AG337" s="8"/>
      <c r="AH337" s="4"/>
    </row>
    <row r="338" spans="1:34" x14ac:dyDescent="0.3">
      <c r="A338" s="27" t="s">
        <v>1047</v>
      </c>
      <c r="B338" s="27" t="s">
        <v>128</v>
      </c>
      <c r="C338" s="26" t="s">
        <v>1048</v>
      </c>
      <c r="D338" s="29">
        <v>126.4</v>
      </c>
      <c r="E338" s="29">
        <v>131.88200000000001</v>
      </c>
      <c r="F338" s="27">
        <v>2016</v>
      </c>
      <c r="G338" s="29">
        <v>62.5</v>
      </c>
      <c r="H338" s="28">
        <f t="shared" si="15"/>
        <v>49.446202531645568</v>
      </c>
      <c r="I338" s="30">
        <f t="shared" si="16"/>
        <v>104.33702531645569</v>
      </c>
      <c r="J338" s="31">
        <v>2178</v>
      </c>
      <c r="K338" s="31">
        <v>424</v>
      </c>
      <c r="L338" s="31">
        <v>2943</v>
      </c>
      <c r="M338" s="32">
        <v>15.8</v>
      </c>
      <c r="N338" s="33">
        <f t="shared" si="17"/>
        <v>4.7904970301402984E-2</v>
      </c>
    </row>
    <row r="339" spans="1:34" x14ac:dyDescent="0.3">
      <c r="A339" s="42" t="s">
        <v>386</v>
      </c>
      <c r="B339" s="17" t="s">
        <v>11</v>
      </c>
      <c r="C339" s="17" t="s">
        <v>387</v>
      </c>
      <c r="D339" s="43">
        <v>17</v>
      </c>
      <c r="E339" s="43">
        <v>12</v>
      </c>
      <c r="F339" s="17">
        <v>2014</v>
      </c>
      <c r="G339" s="36">
        <v>11.6000003814697</v>
      </c>
      <c r="H339" s="28">
        <f t="shared" si="15"/>
        <v>68.235296361586478</v>
      </c>
      <c r="I339" s="30">
        <f t="shared" si="16"/>
        <v>70.588235294117652</v>
      </c>
      <c r="J339" s="31">
        <v>1475</v>
      </c>
      <c r="K339" s="30">
        <v>707</v>
      </c>
      <c r="L339" s="30">
        <v>1221</v>
      </c>
      <c r="M339" s="41">
        <v>16.2</v>
      </c>
      <c r="N339" s="33">
        <f t="shared" si="17"/>
        <v>4.7856430707876374E-2</v>
      </c>
    </row>
    <row r="340" spans="1:34" x14ac:dyDescent="0.3">
      <c r="A340" s="42" t="s">
        <v>454</v>
      </c>
      <c r="B340" s="17" t="s">
        <v>11</v>
      </c>
      <c r="C340" s="17" t="s">
        <v>455</v>
      </c>
      <c r="D340" s="43">
        <v>25.799999237060501</v>
      </c>
      <c r="E340" s="43">
        <v>16.659999847412099</v>
      </c>
      <c r="F340" s="17">
        <v>2016</v>
      </c>
      <c r="G340" s="36">
        <v>14.5</v>
      </c>
      <c r="H340" s="28">
        <f t="shared" si="15"/>
        <v>56.201552049549768</v>
      </c>
      <c r="I340" s="30">
        <f t="shared" si="16"/>
        <v>64.573644728953255</v>
      </c>
      <c r="J340" s="31">
        <v>1350</v>
      </c>
      <c r="K340" s="30">
        <v>718</v>
      </c>
      <c r="L340" s="30">
        <v>984</v>
      </c>
      <c r="M340" s="41">
        <v>13.4</v>
      </c>
      <c r="N340" s="33">
        <f t="shared" si="17"/>
        <v>4.7832329428854264E-2</v>
      </c>
    </row>
    <row r="341" spans="1:34" x14ac:dyDescent="0.3">
      <c r="A341" s="42" t="s">
        <v>348</v>
      </c>
      <c r="B341" s="17" t="s">
        <v>11</v>
      </c>
      <c r="C341" s="17" t="s">
        <v>349</v>
      </c>
      <c r="D341" s="43">
        <v>12.5</v>
      </c>
      <c r="E341" s="43">
        <v>9.2700004577636701</v>
      </c>
      <c r="F341" s="17">
        <v>2015</v>
      </c>
      <c r="G341" s="36">
        <v>7.5</v>
      </c>
      <c r="H341" s="28">
        <f t="shared" si="15"/>
        <v>60</v>
      </c>
      <c r="I341" s="30">
        <f t="shared" si="16"/>
        <v>74.160003662109361</v>
      </c>
      <c r="J341" s="31">
        <v>1552</v>
      </c>
      <c r="K341" s="30">
        <v>696</v>
      </c>
      <c r="L341" s="30">
        <v>1428</v>
      </c>
      <c r="M341" s="41">
        <v>16.399999999999999</v>
      </c>
      <c r="N341" s="33">
        <f t="shared" si="17"/>
        <v>4.7783507514245725E-2</v>
      </c>
    </row>
    <row r="342" spans="1:34" x14ac:dyDescent="0.3">
      <c r="A342" s="34" t="s">
        <v>152</v>
      </c>
      <c r="B342" s="16" t="s">
        <v>0</v>
      </c>
      <c r="C342" s="16" t="s">
        <v>153</v>
      </c>
      <c r="D342" s="35">
        <v>135.69999999999999</v>
      </c>
      <c r="E342" s="35">
        <v>118</v>
      </c>
      <c r="F342" s="16">
        <v>2018</v>
      </c>
      <c r="G342" s="36">
        <v>60</v>
      </c>
      <c r="H342" s="28">
        <f t="shared" si="15"/>
        <v>44.215180545320557</v>
      </c>
      <c r="I342" s="30">
        <f t="shared" si="16"/>
        <v>86.956521739130437</v>
      </c>
      <c r="J342" s="48">
        <v>1822</v>
      </c>
      <c r="K342" s="30">
        <v>543</v>
      </c>
      <c r="L342" s="30">
        <v>2202</v>
      </c>
      <c r="M342" s="31">
        <v>16.600000000000001</v>
      </c>
      <c r="N342" s="33">
        <f t="shared" si="17"/>
        <v>4.772586264496731E-2</v>
      </c>
      <c r="O342" s="54"/>
      <c r="P342" s="54"/>
      <c r="Q342" s="54"/>
      <c r="S342" s="54"/>
      <c r="T342" s="54"/>
      <c r="U342" s="54"/>
      <c r="V342" s="54"/>
      <c r="W342" s="54"/>
      <c r="X342" s="54"/>
      <c r="Y342" s="54"/>
      <c r="Z342" s="54"/>
      <c r="AA342" s="54"/>
      <c r="AB342" s="54"/>
      <c r="AC342" s="54"/>
      <c r="AD342" s="54"/>
      <c r="AE342" s="54"/>
      <c r="AF342" s="54"/>
      <c r="AG342" s="54"/>
      <c r="AH342" s="54"/>
    </row>
    <row r="343" spans="1:34" x14ac:dyDescent="0.3">
      <c r="A343" s="34" t="s">
        <v>154</v>
      </c>
      <c r="B343" s="16" t="s">
        <v>12</v>
      </c>
      <c r="C343" s="16" t="s">
        <v>155</v>
      </c>
      <c r="D343" s="35">
        <v>22.9</v>
      </c>
      <c r="E343" s="35">
        <v>25</v>
      </c>
      <c r="F343" s="16">
        <v>2016</v>
      </c>
      <c r="G343" s="36">
        <v>10.4</v>
      </c>
      <c r="H343" s="28">
        <f t="shared" si="15"/>
        <v>45.414847161572055</v>
      </c>
      <c r="I343" s="30">
        <f t="shared" si="16"/>
        <v>109.17030567685589</v>
      </c>
      <c r="J343" s="48">
        <v>2291</v>
      </c>
      <c r="K343" s="30">
        <v>535</v>
      </c>
      <c r="L343" s="30">
        <v>2804</v>
      </c>
      <c r="M343" s="31">
        <v>16.399999999999999</v>
      </c>
      <c r="N343" s="33">
        <f t="shared" si="17"/>
        <v>4.7651813913948446E-2</v>
      </c>
      <c r="O343" s="54"/>
      <c r="Q343" s="54"/>
      <c r="S343" s="54"/>
      <c r="T343" s="54"/>
      <c r="U343" s="54"/>
      <c r="V343" s="54"/>
      <c r="W343" s="54"/>
      <c r="X343" s="54"/>
      <c r="Y343" s="54"/>
      <c r="Z343" s="54"/>
      <c r="AA343" s="54"/>
      <c r="AB343" s="54"/>
      <c r="AC343" s="54"/>
      <c r="AD343" s="54"/>
      <c r="AE343" s="54"/>
      <c r="AF343" s="54"/>
      <c r="AG343" s="54"/>
      <c r="AH343" s="54"/>
    </row>
    <row r="344" spans="1:34" x14ac:dyDescent="0.3">
      <c r="A344" s="27" t="s">
        <v>1085</v>
      </c>
      <c r="B344" s="27" t="s">
        <v>128</v>
      </c>
      <c r="C344" s="26" t="s">
        <v>1086</v>
      </c>
      <c r="D344" s="29">
        <v>8.5</v>
      </c>
      <c r="E344" s="29">
        <v>6.6050000000000004</v>
      </c>
      <c r="F344" s="27">
        <v>2016</v>
      </c>
      <c r="G344" s="29">
        <v>4</v>
      </c>
      <c r="H344" s="28">
        <f t="shared" si="15"/>
        <v>47.058823529411768</v>
      </c>
      <c r="I344" s="30">
        <f t="shared" si="16"/>
        <v>77.705882352941174</v>
      </c>
      <c r="J344" s="31">
        <v>1632</v>
      </c>
      <c r="K344" s="31">
        <v>635</v>
      </c>
      <c r="L344" s="31">
        <v>1682</v>
      </c>
      <c r="M344" s="32">
        <v>13.9</v>
      </c>
      <c r="N344" s="33">
        <f t="shared" si="17"/>
        <v>4.76138985005767E-2</v>
      </c>
    </row>
    <row r="345" spans="1:34" x14ac:dyDescent="0.3">
      <c r="A345" s="27" t="s">
        <v>1209</v>
      </c>
      <c r="B345" s="27" t="s">
        <v>128</v>
      </c>
      <c r="C345" s="26" t="s">
        <v>1210</v>
      </c>
      <c r="D345" s="29">
        <v>49.9</v>
      </c>
      <c r="E345" s="29">
        <v>51.796500000000002</v>
      </c>
      <c r="F345" s="27">
        <v>2015</v>
      </c>
      <c r="G345" s="29">
        <v>20</v>
      </c>
      <c r="H345" s="28">
        <f t="shared" si="15"/>
        <v>40.080160320641284</v>
      </c>
      <c r="I345" s="30">
        <f t="shared" si="16"/>
        <v>103.80060120240481</v>
      </c>
      <c r="J345" s="31">
        <v>2184</v>
      </c>
      <c r="K345" s="31">
        <v>436</v>
      </c>
      <c r="L345" s="31">
        <v>2930</v>
      </c>
      <c r="M345" s="32">
        <v>17.100000000000001</v>
      </c>
      <c r="N345" s="33">
        <f t="shared" si="17"/>
        <v>4.7527747803298902E-2</v>
      </c>
      <c r="O345" s="54"/>
      <c r="P345" s="54"/>
      <c r="Q345" s="54"/>
      <c r="S345" s="54"/>
      <c r="T345" s="54"/>
      <c r="U345" s="54"/>
      <c r="V345" s="54"/>
      <c r="W345" s="54"/>
      <c r="X345" s="54"/>
      <c r="Y345" s="54"/>
      <c r="Z345" s="54"/>
      <c r="AA345" s="54"/>
      <c r="AB345" s="54"/>
      <c r="AC345" s="54"/>
      <c r="AD345" s="54"/>
      <c r="AE345" s="54"/>
      <c r="AF345" s="54"/>
      <c r="AG345" s="54"/>
      <c r="AH345" s="54"/>
    </row>
    <row r="346" spans="1:34" x14ac:dyDescent="0.3">
      <c r="A346" s="27" t="s">
        <v>996</v>
      </c>
      <c r="B346" s="27" t="s">
        <v>21</v>
      </c>
      <c r="C346" s="26" t="s">
        <v>997</v>
      </c>
      <c r="D346" s="29">
        <v>8.1999999999999993</v>
      </c>
      <c r="E346" s="29">
        <v>7.1816000000000004</v>
      </c>
      <c r="F346" s="27">
        <v>2016</v>
      </c>
      <c r="G346" s="29">
        <v>4.3091400000000002</v>
      </c>
      <c r="H346" s="28">
        <f t="shared" si="15"/>
        <v>52.550487804878045</v>
      </c>
      <c r="I346" s="30">
        <f t="shared" si="16"/>
        <v>87.580487804878047</v>
      </c>
      <c r="J346" s="31">
        <v>1845</v>
      </c>
      <c r="K346" s="31">
        <v>577</v>
      </c>
      <c r="L346" s="31">
        <v>2092</v>
      </c>
      <c r="M346" s="32">
        <v>12.4</v>
      </c>
      <c r="N346" s="33">
        <f t="shared" si="17"/>
        <v>4.7469099081234714E-2</v>
      </c>
    </row>
    <row r="347" spans="1:34" x14ac:dyDescent="0.3">
      <c r="A347" s="27" t="s">
        <v>1109</v>
      </c>
      <c r="B347" s="27" t="s">
        <v>128</v>
      </c>
      <c r="C347" s="26" t="s">
        <v>1110</v>
      </c>
      <c r="D347" s="29">
        <v>28.6</v>
      </c>
      <c r="E347" s="29">
        <v>21</v>
      </c>
      <c r="F347" s="27">
        <v>2015</v>
      </c>
      <c r="G347" s="29">
        <v>13.093999999999999</v>
      </c>
      <c r="H347" s="28">
        <f t="shared" si="15"/>
        <v>45.78321678321678</v>
      </c>
      <c r="I347" s="30">
        <f t="shared" si="16"/>
        <v>73.426573426573427</v>
      </c>
      <c r="J347" s="31">
        <v>1552</v>
      </c>
      <c r="K347" s="31">
        <v>625</v>
      </c>
      <c r="L347" s="31">
        <v>1596</v>
      </c>
      <c r="M347" s="32">
        <v>13.2</v>
      </c>
      <c r="N347" s="33">
        <f t="shared" si="17"/>
        <v>4.7310936486194222E-2</v>
      </c>
    </row>
    <row r="348" spans="1:34" x14ac:dyDescent="0.3">
      <c r="A348" s="34" t="s">
        <v>156</v>
      </c>
      <c r="B348" s="16" t="s">
        <v>4</v>
      </c>
      <c r="C348" s="16" t="s">
        <v>157</v>
      </c>
      <c r="D348" s="35">
        <v>106.3</v>
      </c>
      <c r="E348" s="35">
        <v>80</v>
      </c>
      <c r="F348" s="16">
        <v>2016</v>
      </c>
      <c r="G348" s="36">
        <v>50</v>
      </c>
      <c r="H348" s="28">
        <f t="shared" si="15"/>
        <v>47.036688617121357</v>
      </c>
      <c r="I348" s="30">
        <f t="shared" si="16"/>
        <v>75.258701787394173</v>
      </c>
      <c r="J348" s="48">
        <v>1593</v>
      </c>
      <c r="K348" s="30">
        <v>692</v>
      </c>
      <c r="L348" s="30">
        <v>1619</v>
      </c>
      <c r="M348" s="31">
        <v>6.4</v>
      </c>
      <c r="N348" s="33">
        <f t="shared" si="17"/>
        <v>4.7243378397610905E-2</v>
      </c>
    </row>
    <row r="349" spans="1:34" x14ac:dyDescent="0.3">
      <c r="A349" s="27" t="s">
        <v>1069</v>
      </c>
      <c r="B349" s="27" t="s">
        <v>11</v>
      </c>
      <c r="C349" s="26" t="s">
        <v>1070</v>
      </c>
      <c r="D349" s="29">
        <v>16.100000000000001</v>
      </c>
      <c r="E349" s="29">
        <v>9.4893739999999998</v>
      </c>
      <c r="F349" s="27">
        <v>2015</v>
      </c>
      <c r="G349" s="29">
        <v>7.7</v>
      </c>
      <c r="H349" s="28">
        <f t="shared" si="15"/>
        <v>47.826086956521742</v>
      </c>
      <c r="I349" s="30">
        <f t="shared" si="16"/>
        <v>58.940211180124223</v>
      </c>
      <c r="J349" s="31">
        <v>1252</v>
      </c>
      <c r="K349" s="31">
        <v>679</v>
      </c>
      <c r="L349" s="31">
        <v>895</v>
      </c>
      <c r="M349" s="32">
        <v>11.8</v>
      </c>
      <c r="N349" s="33">
        <f t="shared" si="17"/>
        <v>4.7076845990514558E-2</v>
      </c>
    </row>
    <row r="350" spans="1:34" x14ac:dyDescent="0.3">
      <c r="A350" s="27" t="s">
        <v>868</v>
      </c>
      <c r="B350" s="27" t="s">
        <v>128</v>
      </c>
      <c r="C350" s="26" t="s">
        <v>869</v>
      </c>
      <c r="D350" s="29">
        <v>16.899999999999999</v>
      </c>
      <c r="E350" s="29">
        <v>11.7965</v>
      </c>
      <c r="F350" s="27">
        <v>2014</v>
      </c>
      <c r="G350" s="29">
        <v>10.14</v>
      </c>
      <c r="H350" s="28">
        <f t="shared" si="15"/>
        <v>60</v>
      </c>
      <c r="I350" s="30">
        <f t="shared" si="16"/>
        <v>69.801775147928993</v>
      </c>
      <c r="J350" s="31">
        <v>1490</v>
      </c>
      <c r="K350" s="31">
        <v>620</v>
      </c>
      <c r="L350" s="31">
        <v>1515</v>
      </c>
      <c r="M350" s="32">
        <v>11.5</v>
      </c>
      <c r="N350" s="33">
        <f t="shared" si="17"/>
        <v>4.6846828958341608E-2</v>
      </c>
    </row>
    <row r="351" spans="1:34" x14ac:dyDescent="0.3">
      <c r="A351" s="27" t="s">
        <v>1129</v>
      </c>
      <c r="B351" s="27" t="s">
        <v>128</v>
      </c>
      <c r="C351" s="26" t="s">
        <v>1130</v>
      </c>
      <c r="D351" s="29">
        <v>12.3</v>
      </c>
      <c r="E351" s="29">
        <v>8.02</v>
      </c>
      <c r="F351" s="27">
        <v>2016</v>
      </c>
      <c r="G351" s="29">
        <v>5.5</v>
      </c>
      <c r="H351" s="28">
        <f t="shared" si="15"/>
        <v>44.715447154471548</v>
      </c>
      <c r="I351" s="30">
        <f t="shared" si="16"/>
        <v>65.203252032520325</v>
      </c>
      <c r="J351" s="31">
        <v>1393</v>
      </c>
      <c r="K351" s="31">
        <v>546</v>
      </c>
      <c r="L351" s="31">
        <v>1574</v>
      </c>
      <c r="M351" s="32">
        <v>6.7</v>
      </c>
      <c r="N351" s="33">
        <f t="shared" si="17"/>
        <v>4.6807790403819327E-2</v>
      </c>
    </row>
    <row r="352" spans="1:34" x14ac:dyDescent="0.3">
      <c r="A352" s="27" t="s">
        <v>1201</v>
      </c>
      <c r="B352" s="27" t="s">
        <v>128</v>
      </c>
      <c r="C352" s="26" t="s">
        <v>1202</v>
      </c>
      <c r="D352" s="29">
        <v>6.4</v>
      </c>
      <c r="E352" s="29">
        <v>4.2359999999999998</v>
      </c>
      <c r="F352" s="27">
        <v>2016</v>
      </c>
      <c r="G352" s="29">
        <v>2.6</v>
      </c>
      <c r="H352" s="28">
        <f t="shared" si="15"/>
        <v>40.625</v>
      </c>
      <c r="I352" s="30">
        <f t="shared" si="16"/>
        <v>66.1875</v>
      </c>
      <c r="J352" s="31">
        <v>1415</v>
      </c>
      <c r="K352" s="31">
        <v>599</v>
      </c>
      <c r="L352" s="31">
        <v>1395</v>
      </c>
      <c r="M352" s="32">
        <v>9.6</v>
      </c>
      <c r="N352" s="33">
        <f t="shared" si="17"/>
        <v>4.6775618374558306E-2</v>
      </c>
    </row>
    <row r="353" spans="1:34" x14ac:dyDescent="0.3">
      <c r="A353" s="27" t="s">
        <v>984</v>
      </c>
      <c r="B353" s="27" t="s">
        <v>128</v>
      </c>
      <c r="C353" s="26" t="s">
        <v>985</v>
      </c>
      <c r="D353" s="29">
        <v>13.4</v>
      </c>
      <c r="E353" s="29">
        <v>10.135999999999999</v>
      </c>
      <c r="F353" s="27">
        <v>2016</v>
      </c>
      <c r="G353" s="29">
        <v>7.0922000000000001</v>
      </c>
      <c r="H353" s="28">
        <f t="shared" si="15"/>
        <v>52.926865671641792</v>
      </c>
      <c r="I353" s="30">
        <f t="shared" si="16"/>
        <v>75.641791044776113</v>
      </c>
      <c r="J353" s="31">
        <v>1629</v>
      </c>
      <c r="K353" s="31">
        <v>643</v>
      </c>
      <c r="L353" s="31">
        <v>1665</v>
      </c>
      <c r="M353" s="32">
        <v>15.1</v>
      </c>
      <c r="N353" s="33">
        <f t="shared" si="17"/>
        <v>4.6434494195688222E-2</v>
      </c>
      <c r="O353" s="54"/>
      <c r="Q353" s="54"/>
      <c r="S353" s="54"/>
      <c r="T353" s="54"/>
      <c r="U353" s="54"/>
      <c r="V353" s="54"/>
      <c r="W353" s="54"/>
      <c r="X353" s="54"/>
      <c r="Y353" s="54"/>
      <c r="Z353" s="54"/>
      <c r="AA353" s="54"/>
      <c r="AB353" s="54"/>
      <c r="AC353" s="54"/>
      <c r="AD353" s="54"/>
      <c r="AE353" s="54"/>
      <c r="AF353" s="54"/>
      <c r="AG353" s="54"/>
      <c r="AH353" s="54"/>
    </row>
    <row r="354" spans="1:34" x14ac:dyDescent="0.3">
      <c r="A354" s="27" t="s">
        <v>992</v>
      </c>
      <c r="B354" s="27" t="s">
        <v>128</v>
      </c>
      <c r="C354" s="26" t="s">
        <v>993</v>
      </c>
      <c r="D354" s="29">
        <v>13.4</v>
      </c>
      <c r="E354" s="29">
        <v>9.3209999999999997</v>
      </c>
      <c r="F354" s="27">
        <v>2015</v>
      </c>
      <c r="G354" s="29">
        <v>7.0541</v>
      </c>
      <c r="H354" s="28">
        <f t="shared" si="15"/>
        <v>52.642537313432832</v>
      </c>
      <c r="I354" s="30">
        <f t="shared" si="16"/>
        <v>69.559701492537314</v>
      </c>
      <c r="J354" s="31">
        <v>1500</v>
      </c>
      <c r="K354" s="31">
        <v>618</v>
      </c>
      <c r="L354" s="31">
        <v>1500</v>
      </c>
      <c r="M354" s="32">
        <v>11.8</v>
      </c>
      <c r="N354" s="33">
        <f t="shared" si="17"/>
        <v>4.6373134328358212E-2</v>
      </c>
    </row>
    <row r="355" spans="1:34" x14ac:dyDescent="0.3">
      <c r="A355" s="27" t="s">
        <v>1065</v>
      </c>
      <c r="B355" s="27" t="s">
        <v>128</v>
      </c>
      <c r="C355" s="26" t="s">
        <v>1066</v>
      </c>
      <c r="D355" s="29">
        <v>75.7</v>
      </c>
      <c r="E355" s="29">
        <v>59.167999999999999</v>
      </c>
      <c r="F355" s="27">
        <v>2016</v>
      </c>
      <c r="G355" s="29">
        <v>36.31</v>
      </c>
      <c r="H355" s="28">
        <f t="shared" si="15"/>
        <v>47.96565389696169</v>
      </c>
      <c r="I355" s="30">
        <f t="shared" si="16"/>
        <v>78.161162483487445</v>
      </c>
      <c r="J355" s="31">
        <v>1686</v>
      </c>
      <c r="K355" s="31">
        <v>531</v>
      </c>
      <c r="L355" s="31">
        <v>2075</v>
      </c>
      <c r="M355" s="32">
        <v>8.5</v>
      </c>
      <c r="N355" s="33">
        <f t="shared" si="17"/>
        <v>4.635893385734724E-2</v>
      </c>
      <c r="O355" s="54"/>
      <c r="P355" s="54"/>
      <c r="Q355" s="54"/>
      <c r="S355" s="54"/>
      <c r="T355" s="54"/>
      <c r="U355" s="54"/>
      <c r="V355" s="54"/>
      <c r="W355" s="54"/>
      <c r="X355" s="54"/>
      <c r="Y355" s="54"/>
      <c r="Z355" s="54"/>
      <c r="AA355" s="54"/>
      <c r="AB355" s="54"/>
      <c r="AC355" s="54"/>
      <c r="AD355" s="54"/>
      <c r="AE355" s="54"/>
      <c r="AF355" s="54"/>
      <c r="AG355" s="54"/>
      <c r="AH355" s="54"/>
    </row>
    <row r="356" spans="1:34" x14ac:dyDescent="0.3">
      <c r="A356" s="27" t="s">
        <v>1024</v>
      </c>
      <c r="B356" s="27" t="s">
        <v>21</v>
      </c>
      <c r="C356" s="26" t="s">
        <v>1025</v>
      </c>
      <c r="D356" s="29">
        <v>13.5</v>
      </c>
      <c r="E356" s="29">
        <v>11</v>
      </c>
      <c r="F356" s="27">
        <v>2016</v>
      </c>
      <c r="G356" s="29">
        <v>6.9</v>
      </c>
      <c r="H356" s="28">
        <f t="shared" si="15"/>
        <v>51.111111111111114</v>
      </c>
      <c r="I356" s="30">
        <f t="shared" si="16"/>
        <v>81.481481481481481</v>
      </c>
      <c r="J356" s="31">
        <v>1759</v>
      </c>
      <c r="K356" s="31">
        <v>567</v>
      </c>
      <c r="L356" s="31">
        <v>2010</v>
      </c>
      <c r="M356" s="32">
        <v>8.8000000000000007</v>
      </c>
      <c r="N356" s="33">
        <f t="shared" si="17"/>
        <v>4.6322615964457921E-2</v>
      </c>
    </row>
    <row r="357" spans="1:34" x14ac:dyDescent="0.3">
      <c r="A357" s="27" t="s">
        <v>980</v>
      </c>
      <c r="B357" s="27" t="s">
        <v>128</v>
      </c>
      <c r="C357" s="26" t="s">
        <v>981</v>
      </c>
      <c r="D357" s="29">
        <v>12.2</v>
      </c>
      <c r="E357" s="29">
        <v>9.2355</v>
      </c>
      <c r="F357" s="27">
        <v>2014</v>
      </c>
      <c r="G357" s="29">
        <v>6.49</v>
      </c>
      <c r="H357" s="28">
        <f t="shared" si="15"/>
        <v>53.196721311475407</v>
      </c>
      <c r="I357" s="30">
        <f t="shared" si="16"/>
        <v>75.700819672131146</v>
      </c>
      <c r="J357" s="31">
        <v>1635</v>
      </c>
      <c r="K357" s="31">
        <v>647</v>
      </c>
      <c r="L357" s="31">
        <v>1667</v>
      </c>
      <c r="M357" s="32">
        <v>15.3</v>
      </c>
      <c r="N357" s="33">
        <f t="shared" si="17"/>
        <v>4.6300195518123026E-2</v>
      </c>
    </row>
    <row r="358" spans="1:34" x14ac:dyDescent="0.3">
      <c r="A358" s="34" t="s">
        <v>158</v>
      </c>
      <c r="B358" s="16" t="s">
        <v>19</v>
      </c>
      <c r="C358" s="16" t="s">
        <v>159</v>
      </c>
      <c r="D358" s="35">
        <v>187.2</v>
      </c>
      <c r="E358" s="35">
        <v>192.72</v>
      </c>
      <c r="F358" s="16">
        <v>2014</v>
      </c>
      <c r="G358" s="36">
        <v>100</v>
      </c>
      <c r="H358" s="28">
        <f t="shared" si="15"/>
        <v>53.418803418803421</v>
      </c>
      <c r="I358" s="30">
        <f t="shared" si="16"/>
        <v>102.94871794871794</v>
      </c>
      <c r="J358" s="48">
        <v>2225</v>
      </c>
      <c r="K358" s="30">
        <v>471</v>
      </c>
      <c r="L358" s="30">
        <v>2825</v>
      </c>
      <c r="M358" s="31">
        <v>18.899999999999999</v>
      </c>
      <c r="N358" s="33">
        <f t="shared" si="17"/>
        <v>4.6269086718524921E-2</v>
      </c>
    </row>
    <row r="359" spans="1:34" x14ac:dyDescent="0.3">
      <c r="A359" s="27" t="s">
        <v>753</v>
      </c>
      <c r="B359" s="27" t="s">
        <v>128</v>
      </c>
      <c r="C359" s="26" t="s">
        <v>754</v>
      </c>
      <c r="D359" s="29">
        <v>9.6</v>
      </c>
      <c r="E359" s="29">
        <v>7.2119999999999997</v>
      </c>
      <c r="F359" s="27">
        <v>2016</v>
      </c>
      <c r="G359" s="29">
        <v>6.4202000000000004</v>
      </c>
      <c r="H359" s="28">
        <f t="shared" si="15"/>
        <v>66.877083333333331</v>
      </c>
      <c r="I359" s="30">
        <f t="shared" si="16"/>
        <v>75.125</v>
      </c>
      <c r="J359" s="31">
        <v>1629</v>
      </c>
      <c r="K359" s="31">
        <v>639</v>
      </c>
      <c r="L359" s="31">
        <v>1675</v>
      </c>
      <c r="M359" s="32">
        <v>14.9</v>
      </c>
      <c r="N359" s="33">
        <f t="shared" si="17"/>
        <v>4.6117249846531615E-2</v>
      </c>
    </row>
    <row r="360" spans="1:34" x14ac:dyDescent="0.3">
      <c r="A360" s="27" t="s">
        <v>1036</v>
      </c>
      <c r="B360" s="27" t="s">
        <v>128</v>
      </c>
      <c r="C360" s="26" t="s">
        <v>1037</v>
      </c>
      <c r="D360" s="29">
        <v>12.3</v>
      </c>
      <c r="E360" s="29">
        <v>9.3216669999999997</v>
      </c>
      <c r="F360" s="27">
        <v>2014</v>
      </c>
      <c r="G360" s="29">
        <v>6.2</v>
      </c>
      <c r="H360" s="28">
        <f t="shared" si="15"/>
        <v>50.40650406504065</v>
      </c>
      <c r="I360" s="30">
        <f t="shared" si="16"/>
        <v>75.785910569105695</v>
      </c>
      <c r="J360" s="31">
        <v>1644</v>
      </c>
      <c r="K360" s="31">
        <v>638</v>
      </c>
      <c r="L360" s="31">
        <v>1699</v>
      </c>
      <c r="M360" s="32">
        <v>13.7</v>
      </c>
      <c r="N360" s="33">
        <f t="shared" si="17"/>
        <v>4.6098485747631202E-2</v>
      </c>
    </row>
    <row r="361" spans="1:34" x14ac:dyDescent="0.3">
      <c r="A361" s="42" t="s">
        <v>472</v>
      </c>
      <c r="B361" s="17" t="s">
        <v>6</v>
      </c>
      <c r="C361" s="17" t="s">
        <v>473</v>
      </c>
      <c r="D361" s="43">
        <v>14.3999996185303</v>
      </c>
      <c r="E361" s="43">
        <v>8.6000003814697301</v>
      </c>
      <c r="F361" s="17">
        <v>2014</v>
      </c>
      <c r="G361" s="36">
        <v>7.1999998092651403</v>
      </c>
      <c r="H361" s="28">
        <f t="shared" si="15"/>
        <v>49.999999999999936</v>
      </c>
      <c r="I361" s="30">
        <f t="shared" si="16"/>
        <v>59.72222645341617</v>
      </c>
      <c r="J361" s="31">
        <v>1296</v>
      </c>
      <c r="K361" s="30">
        <v>625</v>
      </c>
      <c r="L361" s="30">
        <v>1186</v>
      </c>
      <c r="M361" s="41">
        <v>13.2</v>
      </c>
      <c r="N361" s="33">
        <f t="shared" si="17"/>
        <v>4.6081964856030992E-2</v>
      </c>
    </row>
    <row r="362" spans="1:34" x14ac:dyDescent="0.3">
      <c r="A362" s="27" t="s">
        <v>1073</v>
      </c>
      <c r="B362" s="27" t="s">
        <v>128</v>
      </c>
      <c r="C362" s="26" t="s">
        <v>1074</v>
      </c>
      <c r="D362" s="29">
        <v>55.1</v>
      </c>
      <c r="E362" s="29">
        <v>55.417999999999999</v>
      </c>
      <c r="F362" s="27">
        <v>2014</v>
      </c>
      <c r="G362" s="29">
        <v>26.204000000000001</v>
      </c>
      <c r="H362" s="28">
        <f t="shared" si="15"/>
        <v>47.557168784029038</v>
      </c>
      <c r="I362" s="30">
        <f t="shared" si="16"/>
        <v>100.57713248638838</v>
      </c>
      <c r="J362" s="31">
        <v>2188</v>
      </c>
      <c r="K362" s="31">
        <v>419</v>
      </c>
      <c r="L362" s="31">
        <v>2972</v>
      </c>
      <c r="M362" s="32">
        <v>16.600000000000001</v>
      </c>
      <c r="N362" s="33">
        <f t="shared" si="17"/>
        <v>4.5967610825588839E-2</v>
      </c>
      <c r="O362" s="9"/>
      <c r="Q362" s="4"/>
      <c r="S362" s="8"/>
      <c r="T362" s="8"/>
      <c r="U362" s="8"/>
      <c r="V362" s="4"/>
      <c r="W362" s="8"/>
      <c r="X362" s="8"/>
      <c r="Y362" s="8"/>
      <c r="Z362" s="8"/>
      <c r="AA362" s="8"/>
      <c r="AB362" s="4"/>
      <c r="AC362" s="8"/>
      <c r="AD362" s="8"/>
      <c r="AE362" s="8"/>
      <c r="AF362" s="8"/>
      <c r="AG362" s="8"/>
      <c r="AH362" s="4"/>
    </row>
    <row r="363" spans="1:34" x14ac:dyDescent="0.3">
      <c r="A363" s="27" t="s">
        <v>990</v>
      </c>
      <c r="B363" s="27" t="s">
        <v>128</v>
      </c>
      <c r="C363" s="26" t="s">
        <v>991</v>
      </c>
      <c r="D363" s="29">
        <v>9.3000000000000007</v>
      </c>
      <c r="E363" s="29">
        <v>6.1559999999999997</v>
      </c>
      <c r="F363" s="27">
        <v>2015</v>
      </c>
      <c r="G363" s="29">
        <v>4.9000000000000004</v>
      </c>
      <c r="H363" s="28">
        <f t="shared" si="15"/>
        <v>52.688172043010752</v>
      </c>
      <c r="I363" s="30">
        <f t="shared" si="16"/>
        <v>66.193548387096769</v>
      </c>
      <c r="J363" s="31">
        <v>1442</v>
      </c>
      <c r="K363" s="31">
        <v>580</v>
      </c>
      <c r="L363" s="31">
        <v>1539</v>
      </c>
      <c r="M363" s="32">
        <v>9.1</v>
      </c>
      <c r="N363" s="33">
        <f t="shared" si="17"/>
        <v>4.590398639881884E-2</v>
      </c>
      <c r="Y363" s="54"/>
      <c r="Z363" s="54"/>
    </row>
    <row r="364" spans="1:34" x14ac:dyDescent="0.3">
      <c r="A364" s="34" t="s">
        <v>160</v>
      </c>
      <c r="B364" s="16" t="s">
        <v>0</v>
      </c>
      <c r="C364" s="16" t="s">
        <v>161</v>
      </c>
      <c r="D364" s="35">
        <v>46.7</v>
      </c>
      <c r="E364" s="35">
        <v>37</v>
      </c>
      <c r="F364" s="16">
        <v>2014</v>
      </c>
      <c r="G364" s="36">
        <v>24.1</v>
      </c>
      <c r="H364" s="28">
        <f t="shared" si="15"/>
        <v>51.605995717344754</v>
      </c>
      <c r="I364" s="30">
        <f t="shared" si="16"/>
        <v>79.229122055674523</v>
      </c>
      <c r="J364" s="48">
        <v>1726</v>
      </c>
      <c r="K364" s="30">
        <v>548</v>
      </c>
      <c r="L364" s="30">
        <v>2007</v>
      </c>
      <c r="M364" s="31">
        <v>11.4</v>
      </c>
      <c r="N364" s="33">
        <f t="shared" si="17"/>
        <v>4.590331521186241E-2</v>
      </c>
    </row>
    <row r="365" spans="1:34" x14ac:dyDescent="0.3">
      <c r="A365" s="27" t="s">
        <v>821</v>
      </c>
      <c r="B365" s="27" t="s">
        <v>128</v>
      </c>
      <c r="C365" s="26" t="s">
        <v>822</v>
      </c>
      <c r="D365" s="29">
        <v>17.3</v>
      </c>
      <c r="E365" s="29">
        <v>11.94875</v>
      </c>
      <c r="F365" s="27">
        <v>2014</v>
      </c>
      <c r="G365" s="29">
        <v>10.82</v>
      </c>
      <c r="H365" s="28">
        <f t="shared" si="15"/>
        <v>62.543352601156066</v>
      </c>
      <c r="I365" s="30">
        <f t="shared" si="16"/>
        <v>69.067919075144502</v>
      </c>
      <c r="J365" s="31">
        <v>1505</v>
      </c>
      <c r="K365" s="31">
        <v>621</v>
      </c>
      <c r="L365" s="31">
        <v>1511</v>
      </c>
      <c r="M365" s="32">
        <v>11.3</v>
      </c>
      <c r="N365" s="33">
        <f t="shared" si="17"/>
        <v>4.5892305033318606E-2</v>
      </c>
    </row>
    <row r="366" spans="1:34" x14ac:dyDescent="0.3">
      <c r="A366" s="34" t="s">
        <v>162</v>
      </c>
      <c r="B366" s="16" t="s">
        <v>10</v>
      </c>
      <c r="C366" s="16" t="s">
        <v>163</v>
      </c>
      <c r="D366" s="35">
        <v>60</v>
      </c>
      <c r="E366" s="35">
        <v>61.03</v>
      </c>
      <c r="F366" s="16">
        <v>2015</v>
      </c>
      <c r="G366" s="36">
        <v>40</v>
      </c>
      <c r="H366" s="28">
        <f t="shared" si="15"/>
        <v>66.666666666666671</v>
      </c>
      <c r="I366" s="30">
        <f t="shared" si="16"/>
        <v>101.71666666666667</v>
      </c>
      <c r="J366" s="48">
        <v>2219</v>
      </c>
      <c r="K366" s="30">
        <v>611</v>
      </c>
      <c r="L366" s="30">
        <v>2504</v>
      </c>
      <c r="M366" s="31">
        <v>20.399999999999999</v>
      </c>
      <c r="N366" s="33">
        <f t="shared" si="17"/>
        <v>4.5838966501427068E-2</v>
      </c>
      <c r="O366" s="54"/>
      <c r="Q366" s="54"/>
      <c r="S366" s="54"/>
      <c r="T366" s="54"/>
      <c r="U366" s="54"/>
      <c r="V366" s="54"/>
      <c r="W366" s="54"/>
      <c r="X366" s="54"/>
      <c r="Y366" s="54"/>
      <c r="Z366" s="54"/>
      <c r="AA366" s="54"/>
      <c r="AB366" s="54"/>
      <c r="AC366" s="54"/>
      <c r="AD366" s="54"/>
      <c r="AE366" s="54"/>
      <c r="AF366" s="54"/>
      <c r="AG366" s="54"/>
      <c r="AH366" s="54"/>
    </row>
    <row r="367" spans="1:34" x14ac:dyDescent="0.3">
      <c r="A367" s="27" t="s">
        <v>1059</v>
      </c>
      <c r="B367" s="27" t="s">
        <v>128</v>
      </c>
      <c r="C367" s="26" t="s">
        <v>1060</v>
      </c>
      <c r="D367" s="29">
        <v>53.9</v>
      </c>
      <c r="E367" s="29">
        <v>53.957999999999998</v>
      </c>
      <c r="F367" s="27">
        <v>2016</v>
      </c>
      <c r="G367" s="29">
        <v>26.1</v>
      </c>
      <c r="H367" s="28">
        <f t="shared" si="15"/>
        <v>48.423005565862709</v>
      </c>
      <c r="I367" s="30">
        <f t="shared" si="16"/>
        <v>100.10760667903526</v>
      </c>
      <c r="J367" s="31">
        <v>2185</v>
      </c>
      <c r="K367" s="31">
        <v>421</v>
      </c>
      <c r="L367" s="31">
        <v>2964</v>
      </c>
      <c r="M367" s="32">
        <v>16.399999999999999</v>
      </c>
      <c r="N367" s="33">
        <f t="shared" si="17"/>
        <v>4.5815838297041306E-2</v>
      </c>
    </row>
    <row r="368" spans="1:34" x14ac:dyDescent="0.3">
      <c r="A368" s="42" t="s">
        <v>370</v>
      </c>
      <c r="B368" s="17" t="s">
        <v>4</v>
      </c>
      <c r="C368" s="17" t="s">
        <v>371</v>
      </c>
      <c r="D368" s="43">
        <v>40.900001525878899</v>
      </c>
      <c r="E368" s="43">
        <v>28</v>
      </c>
      <c r="F368" s="17">
        <v>2015</v>
      </c>
      <c r="G368" s="36">
        <v>20</v>
      </c>
      <c r="H368" s="28">
        <f t="shared" si="15"/>
        <v>48.89975367689236</v>
      </c>
      <c r="I368" s="30">
        <f t="shared" si="16"/>
        <v>68.4596551476493</v>
      </c>
      <c r="J368" s="31">
        <v>1498</v>
      </c>
      <c r="K368" s="30">
        <v>839</v>
      </c>
      <c r="L368" s="30">
        <v>1044</v>
      </c>
      <c r="M368" s="41">
        <v>11.6</v>
      </c>
      <c r="N368" s="33">
        <f t="shared" si="17"/>
        <v>4.5700704370927436E-2</v>
      </c>
      <c r="O368" s="9"/>
      <c r="Q368" s="4"/>
      <c r="S368" s="8"/>
      <c r="T368" s="8"/>
      <c r="U368" s="8"/>
      <c r="V368" s="4"/>
      <c r="W368" s="8"/>
      <c r="X368" s="8"/>
      <c r="Y368" s="8"/>
      <c r="Z368" s="8"/>
      <c r="AA368" s="8"/>
      <c r="AB368" s="4"/>
      <c r="AC368" s="8"/>
      <c r="AD368" s="8"/>
      <c r="AE368" s="8"/>
      <c r="AF368" s="8"/>
      <c r="AG368" s="8"/>
      <c r="AH368" s="4"/>
    </row>
    <row r="369" spans="1:34" x14ac:dyDescent="0.3">
      <c r="A369" s="42" t="s">
        <v>406</v>
      </c>
      <c r="B369" s="17" t="s">
        <v>11</v>
      </c>
      <c r="C369" s="17" t="s">
        <v>407</v>
      </c>
      <c r="D369" s="43">
        <v>51.299999237060497</v>
      </c>
      <c r="E369" s="43">
        <v>34</v>
      </c>
      <c r="F369" s="17">
        <v>2017</v>
      </c>
      <c r="G369" s="36">
        <v>31.200000762939499</v>
      </c>
      <c r="H369" s="28">
        <f t="shared" si="15"/>
        <v>60.818715842006839</v>
      </c>
      <c r="I369" s="30">
        <f t="shared" si="16"/>
        <v>66.276804104584642</v>
      </c>
      <c r="J369" s="31">
        <v>1452</v>
      </c>
      <c r="K369" s="30">
        <v>681</v>
      </c>
      <c r="L369" s="30">
        <v>1281</v>
      </c>
      <c r="M369" s="41">
        <v>9.6</v>
      </c>
      <c r="N369" s="33">
        <f t="shared" si="17"/>
        <v>4.5645181890209809E-2</v>
      </c>
    </row>
    <row r="370" spans="1:34" x14ac:dyDescent="0.3">
      <c r="A370" s="34" t="s">
        <v>164</v>
      </c>
      <c r="B370" s="16" t="s">
        <v>3</v>
      </c>
      <c r="C370" s="16" t="s">
        <v>165</v>
      </c>
      <c r="D370" s="35">
        <v>239.5</v>
      </c>
      <c r="E370" s="35">
        <v>270</v>
      </c>
      <c r="F370" s="16">
        <v>2014</v>
      </c>
      <c r="G370" s="36">
        <v>100</v>
      </c>
      <c r="H370" s="28">
        <f t="shared" si="15"/>
        <v>41.753653444676409</v>
      </c>
      <c r="I370" s="30">
        <f t="shared" si="16"/>
        <v>112.7348643006263</v>
      </c>
      <c r="J370" s="48">
        <v>2472</v>
      </c>
      <c r="K370" s="30">
        <v>491</v>
      </c>
      <c r="L370" s="30">
        <v>3103</v>
      </c>
      <c r="M370" s="31">
        <v>15.8</v>
      </c>
      <c r="N370" s="33">
        <f t="shared" si="17"/>
        <v>4.560471856821452E-2</v>
      </c>
    </row>
    <row r="371" spans="1:34" x14ac:dyDescent="0.3">
      <c r="A371" s="27" t="s">
        <v>1125</v>
      </c>
      <c r="B371" s="27" t="s">
        <v>128</v>
      </c>
      <c r="C371" s="26" t="s">
        <v>1126</v>
      </c>
      <c r="D371" s="29">
        <v>128.4</v>
      </c>
      <c r="E371" s="29">
        <v>124.218</v>
      </c>
      <c r="F371" s="27">
        <v>2015</v>
      </c>
      <c r="G371" s="29">
        <v>57.5</v>
      </c>
      <c r="H371" s="28">
        <f t="shared" si="15"/>
        <v>44.781931464174455</v>
      </c>
      <c r="I371" s="30">
        <f t="shared" si="16"/>
        <v>96.742990654205613</v>
      </c>
      <c r="J371" s="31">
        <v>2124</v>
      </c>
      <c r="K371" s="31">
        <v>478</v>
      </c>
      <c r="L371" s="31">
        <v>2723</v>
      </c>
      <c r="M371" s="32">
        <v>22.4</v>
      </c>
      <c r="N371" s="33">
        <f t="shared" si="17"/>
        <v>4.5547547388985692E-2</v>
      </c>
      <c r="O371" s="54"/>
      <c r="P371" s="54"/>
      <c r="Q371" s="54"/>
      <c r="S371" s="54"/>
      <c r="T371" s="54"/>
      <c r="U371" s="54"/>
      <c r="V371" s="54"/>
      <c r="W371" s="54"/>
      <c r="X371" s="54"/>
      <c r="Y371" s="54"/>
      <c r="Z371" s="54"/>
      <c r="AA371" s="54"/>
      <c r="AB371" s="54"/>
      <c r="AC371" s="54"/>
      <c r="AD371" s="54"/>
      <c r="AE371" s="54"/>
      <c r="AF371" s="54"/>
      <c r="AG371" s="54"/>
      <c r="AH371" s="54"/>
    </row>
    <row r="372" spans="1:34" x14ac:dyDescent="0.3">
      <c r="A372" s="42" t="s">
        <v>477</v>
      </c>
      <c r="B372" s="17" t="s">
        <v>11</v>
      </c>
      <c r="C372" s="17" t="s">
        <v>478</v>
      </c>
      <c r="D372" s="43">
        <v>42.200000762939503</v>
      </c>
      <c r="E372" s="43">
        <v>24.401247024536101</v>
      </c>
      <c r="F372" s="17">
        <v>2014</v>
      </c>
      <c r="G372" s="36">
        <v>19.799999237060501</v>
      </c>
      <c r="H372" s="28">
        <f t="shared" si="15"/>
        <v>46.919428623444659</v>
      </c>
      <c r="I372" s="30">
        <f t="shared" si="16"/>
        <v>57.822859202328587</v>
      </c>
      <c r="J372" s="31">
        <v>1271</v>
      </c>
      <c r="K372" s="30">
        <v>661</v>
      </c>
      <c r="L372" s="30">
        <v>1042</v>
      </c>
      <c r="M372" s="41">
        <v>9</v>
      </c>
      <c r="N372" s="33">
        <f t="shared" si="17"/>
        <v>4.5493988357457583E-2</v>
      </c>
      <c r="O372" s="9"/>
      <c r="Q372" s="4"/>
      <c r="S372" s="8"/>
      <c r="T372" s="8"/>
      <c r="U372" s="8"/>
      <c r="V372" s="4"/>
      <c r="W372" s="8"/>
      <c r="X372" s="8"/>
      <c r="Y372" s="8"/>
      <c r="Z372" s="8"/>
      <c r="AA372" s="8"/>
      <c r="AB372" s="4"/>
      <c r="AC372" s="8"/>
      <c r="AD372" s="8"/>
      <c r="AE372" s="8"/>
      <c r="AF372" s="8"/>
      <c r="AG372" s="8"/>
      <c r="AH372" s="4"/>
    </row>
    <row r="373" spans="1:34" x14ac:dyDescent="0.3">
      <c r="A373" s="27" t="s">
        <v>950</v>
      </c>
      <c r="B373" s="27" t="s">
        <v>128</v>
      </c>
      <c r="C373" s="26" t="s">
        <v>951</v>
      </c>
      <c r="D373" s="29">
        <v>7.3</v>
      </c>
      <c r="E373" s="29">
        <v>5.3935000000000004</v>
      </c>
      <c r="F373" s="27">
        <v>2015</v>
      </c>
      <c r="G373" s="29">
        <v>4</v>
      </c>
      <c r="H373" s="28">
        <f t="shared" si="15"/>
        <v>54.794520547945204</v>
      </c>
      <c r="I373" s="30">
        <f t="shared" si="16"/>
        <v>73.88356164383562</v>
      </c>
      <c r="J373" s="31">
        <v>1630</v>
      </c>
      <c r="K373" s="31">
        <v>635</v>
      </c>
      <c r="L373" s="31">
        <v>1686</v>
      </c>
      <c r="M373" s="32">
        <v>13.7</v>
      </c>
      <c r="N373" s="33">
        <f t="shared" si="17"/>
        <v>4.5327338431800993E-2</v>
      </c>
      <c r="O373" s="9"/>
      <c r="Q373" s="4"/>
      <c r="S373" s="8"/>
      <c r="T373" s="8"/>
      <c r="U373" s="8"/>
      <c r="V373" s="4"/>
      <c r="W373" s="8"/>
      <c r="X373" s="8"/>
      <c r="Y373" s="8"/>
      <c r="Z373" s="8"/>
      <c r="AA373" s="8"/>
      <c r="AB373" s="4"/>
      <c r="AC373" s="8"/>
      <c r="AD373" s="8"/>
      <c r="AE373" s="8"/>
      <c r="AF373" s="8"/>
      <c r="AG373" s="8"/>
      <c r="AH373" s="4"/>
    </row>
    <row r="374" spans="1:34" x14ac:dyDescent="0.3">
      <c r="A374" s="27" t="s">
        <v>940</v>
      </c>
      <c r="B374" s="27" t="s">
        <v>128</v>
      </c>
      <c r="C374" s="26" t="s">
        <v>941</v>
      </c>
      <c r="D374" s="29">
        <v>11.7</v>
      </c>
      <c r="E374" s="29">
        <v>8.6639999999999997</v>
      </c>
      <c r="F374" s="27">
        <v>2016</v>
      </c>
      <c r="G374" s="29">
        <v>6.5</v>
      </c>
      <c r="H374" s="28">
        <f t="shared" si="15"/>
        <v>55.555555555555557</v>
      </c>
      <c r="I374" s="30">
        <f t="shared" si="16"/>
        <v>74.051282051282058</v>
      </c>
      <c r="J374" s="31">
        <v>1636</v>
      </c>
      <c r="K374" s="31">
        <v>642</v>
      </c>
      <c r="L374" s="31">
        <v>1677</v>
      </c>
      <c r="M374" s="32">
        <v>15.1</v>
      </c>
      <c r="N374" s="33">
        <f t="shared" si="17"/>
        <v>4.5263619835746977E-2</v>
      </c>
    </row>
    <row r="375" spans="1:34" x14ac:dyDescent="0.3">
      <c r="A375" s="27" t="s">
        <v>1193</v>
      </c>
      <c r="B375" s="27" t="s">
        <v>128</v>
      </c>
      <c r="C375" s="26" t="s">
        <v>1194</v>
      </c>
      <c r="D375" s="29">
        <v>14.3</v>
      </c>
      <c r="E375" s="29">
        <v>14.02502</v>
      </c>
      <c r="F375" s="27">
        <v>2014</v>
      </c>
      <c r="G375" s="29">
        <v>5.9</v>
      </c>
      <c r="H375" s="28">
        <f t="shared" si="15"/>
        <v>41.25874125874126</v>
      </c>
      <c r="I375" s="30">
        <f t="shared" si="16"/>
        <v>98.077062937062934</v>
      </c>
      <c r="J375" s="31">
        <v>2167</v>
      </c>
      <c r="K375" s="31">
        <v>483</v>
      </c>
      <c r="L375" s="31">
        <v>2759</v>
      </c>
      <c r="M375" s="32">
        <v>24.2</v>
      </c>
      <c r="N375" s="33">
        <f t="shared" si="17"/>
        <v>4.5259373759604489E-2</v>
      </c>
    </row>
    <row r="376" spans="1:34" x14ac:dyDescent="0.3">
      <c r="A376" s="27" t="s">
        <v>1165</v>
      </c>
      <c r="B376" s="27" t="s">
        <v>128</v>
      </c>
      <c r="C376" s="26" t="s">
        <v>1166</v>
      </c>
      <c r="D376" s="29">
        <v>81.599999999999994</v>
      </c>
      <c r="E376" s="29">
        <v>78.995999999999995</v>
      </c>
      <c r="F376" s="27">
        <v>2014</v>
      </c>
      <c r="G376" s="29">
        <v>35</v>
      </c>
      <c r="H376" s="28">
        <f t="shared" si="15"/>
        <v>42.892156862745097</v>
      </c>
      <c r="I376" s="30">
        <f t="shared" si="16"/>
        <v>96.808823529411768</v>
      </c>
      <c r="J376" s="31">
        <v>2139</v>
      </c>
      <c r="K376" s="31">
        <v>464</v>
      </c>
      <c r="L376" s="31">
        <v>2774</v>
      </c>
      <c r="M376" s="32">
        <v>20.3</v>
      </c>
      <c r="N376" s="33">
        <f t="shared" si="17"/>
        <v>4.5258917031048042E-2</v>
      </c>
    </row>
    <row r="377" spans="1:34" x14ac:dyDescent="0.3">
      <c r="A377" s="42" t="s">
        <v>328</v>
      </c>
      <c r="B377" s="17" t="s">
        <v>128</v>
      </c>
      <c r="C377" s="17" t="s">
        <v>329</v>
      </c>
      <c r="D377" s="43">
        <v>13.6000003814697</v>
      </c>
      <c r="E377" s="43">
        <v>10.050000190734901</v>
      </c>
      <c r="F377" s="17">
        <v>2014</v>
      </c>
      <c r="G377" s="36">
        <v>6.8000001907348597</v>
      </c>
      <c r="H377" s="28">
        <f t="shared" si="15"/>
        <v>50.000000000000071</v>
      </c>
      <c r="I377" s="30">
        <f t="shared" si="16"/>
        <v>73.897058153235392</v>
      </c>
      <c r="J377" s="31">
        <v>1634</v>
      </c>
      <c r="K377" s="30">
        <v>642</v>
      </c>
      <c r="L377" s="30">
        <v>1674</v>
      </c>
      <c r="M377" s="41">
        <v>15.1</v>
      </c>
      <c r="N377" s="33">
        <f t="shared" si="17"/>
        <v>4.522463779267772E-2</v>
      </c>
    </row>
    <row r="378" spans="1:34" x14ac:dyDescent="0.3">
      <c r="A378" s="42" t="s">
        <v>312</v>
      </c>
      <c r="B378" s="17" t="s">
        <v>128</v>
      </c>
      <c r="C378" s="17" t="s">
        <v>313</v>
      </c>
      <c r="D378" s="43">
        <v>12.300000190734901</v>
      </c>
      <c r="E378" s="43">
        <v>9.1680002212524396</v>
      </c>
      <c r="F378" s="17">
        <v>2014</v>
      </c>
      <c r="G378" s="36">
        <v>6.4800000190734899</v>
      </c>
      <c r="H378" s="28">
        <f t="shared" si="15"/>
        <v>52.682926167388317</v>
      </c>
      <c r="I378" s="30">
        <f t="shared" si="16"/>
        <v>74.536586008822411</v>
      </c>
      <c r="J378" s="31">
        <v>1649</v>
      </c>
      <c r="K378" s="30">
        <v>650</v>
      </c>
      <c r="L378" s="30">
        <v>1676</v>
      </c>
      <c r="M378" s="41">
        <v>15.5</v>
      </c>
      <c r="N378" s="33">
        <f t="shared" si="17"/>
        <v>4.5201083086005102E-2</v>
      </c>
    </row>
    <row r="379" spans="1:34" x14ac:dyDescent="0.3">
      <c r="A379" s="27" t="s">
        <v>849</v>
      </c>
      <c r="B379" s="27" t="s">
        <v>128</v>
      </c>
      <c r="C379" s="26" t="s">
        <v>850</v>
      </c>
      <c r="D379" s="29">
        <v>11</v>
      </c>
      <c r="E379" s="29">
        <v>8.2690000000000001</v>
      </c>
      <c r="F379" s="27">
        <v>2017</v>
      </c>
      <c r="G379" s="29">
        <v>6.7023000000000001</v>
      </c>
      <c r="H379" s="28">
        <f t="shared" si="15"/>
        <v>60.93</v>
      </c>
      <c r="I379" s="30">
        <f t="shared" si="16"/>
        <v>75.172727272727272</v>
      </c>
      <c r="J379" s="31">
        <v>1670</v>
      </c>
      <c r="K379" s="31">
        <v>655</v>
      </c>
      <c r="L379" s="31">
        <v>1693</v>
      </c>
      <c r="M379" s="32">
        <v>16</v>
      </c>
      <c r="N379" s="33">
        <f t="shared" si="17"/>
        <v>4.5013609145345669E-2</v>
      </c>
      <c r="O379" s="54"/>
      <c r="Q379" s="54"/>
      <c r="S379" s="54"/>
      <c r="T379" s="54"/>
      <c r="U379" s="54"/>
      <c r="V379" s="54"/>
      <c r="W379" s="54"/>
      <c r="X379" s="54"/>
      <c r="Y379" s="54"/>
      <c r="Z379" s="54"/>
      <c r="AA379" s="54"/>
      <c r="AB379" s="54"/>
      <c r="AC379" s="54"/>
      <c r="AD379" s="54"/>
      <c r="AE379" s="54"/>
      <c r="AF379" s="54"/>
      <c r="AG379" s="54"/>
      <c r="AH379" s="54"/>
    </row>
    <row r="380" spans="1:34" x14ac:dyDescent="0.3">
      <c r="A380" s="27" t="s">
        <v>942</v>
      </c>
      <c r="B380" s="27" t="s">
        <v>128</v>
      </c>
      <c r="C380" s="26" t="s">
        <v>943</v>
      </c>
      <c r="D380" s="29">
        <v>12.3</v>
      </c>
      <c r="E380" s="29">
        <v>9.1039999999999992</v>
      </c>
      <c r="F380" s="27">
        <v>2014</v>
      </c>
      <c r="G380" s="29">
        <v>6.8</v>
      </c>
      <c r="H380" s="28">
        <f t="shared" si="15"/>
        <v>55.284552845528452</v>
      </c>
      <c r="I380" s="30">
        <f t="shared" si="16"/>
        <v>74.016260162601625</v>
      </c>
      <c r="J380" s="31">
        <v>1648</v>
      </c>
      <c r="K380" s="31">
        <v>650</v>
      </c>
      <c r="L380" s="31">
        <v>1676</v>
      </c>
      <c r="M380" s="32">
        <v>15.5</v>
      </c>
      <c r="N380" s="33">
        <f t="shared" si="17"/>
        <v>4.4912779224879629E-2</v>
      </c>
      <c r="P380" s="54"/>
    </row>
    <row r="381" spans="1:34" x14ac:dyDescent="0.3">
      <c r="A381" s="34" t="s">
        <v>166</v>
      </c>
      <c r="B381" s="16" t="s">
        <v>16</v>
      </c>
      <c r="C381" s="16" t="s">
        <v>167</v>
      </c>
      <c r="D381" s="35">
        <v>555.70000000000005</v>
      </c>
      <c r="E381" s="35">
        <v>480</v>
      </c>
      <c r="F381" s="16">
        <v>2016</v>
      </c>
      <c r="G381" s="36">
        <v>300</v>
      </c>
      <c r="H381" s="28">
        <f t="shared" ref="H381:H444" si="18">G381*10^6/(D381*10^4)</f>
        <v>53.985963649451143</v>
      </c>
      <c r="I381" s="30">
        <f t="shared" ref="I381:I444" si="19">E381*10^6/(D381*10^4)</f>
        <v>86.377541839121832</v>
      </c>
      <c r="J381" s="48">
        <v>1924</v>
      </c>
      <c r="K381" s="30">
        <v>926</v>
      </c>
      <c r="L381" s="30">
        <v>1501</v>
      </c>
      <c r="M381" s="31">
        <v>27.8</v>
      </c>
      <c r="N381" s="33">
        <f t="shared" ref="N381:N444" si="20">I381/J381</f>
        <v>4.4894772265655837E-2</v>
      </c>
    </row>
    <row r="382" spans="1:34" x14ac:dyDescent="0.3">
      <c r="A382" s="27" t="s">
        <v>948</v>
      </c>
      <c r="B382" s="27" t="s">
        <v>128</v>
      </c>
      <c r="C382" s="26" t="s">
        <v>949</v>
      </c>
      <c r="D382" s="29">
        <v>11.8</v>
      </c>
      <c r="E382" s="29">
        <v>8.8776659999999996</v>
      </c>
      <c r="F382" s="27">
        <v>2015</v>
      </c>
      <c r="G382" s="29">
        <v>6.5</v>
      </c>
      <c r="H382" s="28">
        <f t="shared" si="18"/>
        <v>55.084745762711862</v>
      </c>
      <c r="I382" s="30">
        <f t="shared" si="19"/>
        <v>75.234457627118644</v>
      </c>
      <c r="J382" s="31">
        <v>1684</v>
      </c>
      <c r="K382" s="31">
        <v>657</v>
      </c>
      <c r="L382" s="31">
        <v>1710</v>
      </c>
      <c r="M382" s="32">
        <v>16.2</v>
      </c>
      <c r="N382" s="33">
        <f t="shared" si="20"/>
        <v>4.4676043721566888E-2</v>
      </c>
    </row>
    <row r="383" spans="1:34" x14ac:dyDescent="0.3">
      <c r="A383" s="27" t="s">
        <v>1233</v>
      </c>
      <c r="B383" s="27" t="s">
        <v>128</v>
      </c>
      <c r="C383" s="26" t="s">
        <v>1234</v>
      </c>
      <c r="D383" s="29">
        <v>53.9</v>
      </c>
      <c r="E383" s="29">
        <v>52.674999999999997</v>
      </c>
      <c r="F383" s="27">
        <v>2014</v>
      </c>
      <c r="G383" s="29">
        <v>20.946999999999999</v>
      </c>
      <c r="H383" s="28">
        <f t="shared" si="18"/>
        <v>38.862708719851575</v>
      </c>
      <c r="I383" s="30">
        <f t="shared" si="19"/>
        <v>97.727272727272734</v>
      </c>
      <c r="J383" s="31">
        <v>2188</v>
      </c>
      <c r="K383" s="31">
        <v>418</v>
      </c>
      <c r="L383" s="31">
        <v>2977</v>
      </c>
      <c r="M383" s="32">
        <v>16.600000000000001</v>
      </c>
      <c r="N383" s="33">
        <f t="shared" si="20"/>
        <v>4.4665115506066146E-2</v>
      </c>
      <c r="O383" s="54"/>
      <c r="P383" s="54"/>
      <c r="Q383" s="54"/>
      <c r="S383" s="54"/>
      <c r="T383" s="54"/>
      <c r="U383" s="54"/>
      <c r="V383" s="54"/>
      <c r="W383" s="54"/>
      <c r="X383" s="54"/>
      <c r="Y383" s="54"/>
      <c r="Z383" s="54"/>
      <c r="AA383" s="54"/>
      <c r="AB383" s="54"/>
      <c r="AC383" s="54"/>
      <c r="AD383" s="54"/>
      <c r="AE383" s="54"/>
      <c r="AF383" s="54"/>
      <c r="AG383" s="54"/>
      <c r="AH383" s="54"/>
    </row>
    <row r="384" spans="1:34" x14ac:dyDescent="0.3">
      <c r="A384" s="42" t="s">
        <v>302</v>
      </c>
      <c r="B384" s="17" t="s">
        <v>128</v>
      </c>
      <c r="C384" s="17" t="s">
        <v>303</v>
      </c>
      <c r="D384" s="43">
        <v>8.3999996185302699</v>
      </c>
      <c r="E384" s="43">
        <v>6.1999998092651403</v>
      </c>
      <c r="F384" s="17">
        <v>2014</v>
      </c>
      <c r="G384" s="36">
        <v>4.4000000953674299</v>
      </c>
      <c r="H384" s="28">
        <f t="shared" si="18"/>
        <v>52.380955895058577</v>
      </c>
      <c r="I384" s="30">
        <f t="shared" si="19"/>
        <v>73.80952489078733</v>
      </c>
      <c r="J384" s="31">
        <v>1655</v>
      </c>
      <c r="K384" s="30">
        <v>644</v>
      </c>
      <c r="L384" s="30">
        <v>1700</v>
      </c>
      <c r="M384" s="41">
        <v>14.5</v>
      </c>
      <c r="N384" s="33">
        <f t="shared" si="20"/>
        <v>4.4597900236125275E-2</v>
      </c>
    </row>
    <row r="385" spans="1:34" x14ac:dyDescent="0.3">
      <c r="A385" s="27" t="s">
        <v>1038</v>
      </c>
      <c r="B385" s="27" t="s">
        <v>128</v>
      </c>
      <c r="C385" s="26" t="s">
        <v>1039</v>
      </c>
      <c r="D385" s="29">
        <v>13.8</v>
      </c>
      <c r="E385" s="29">
        <v>10.066000000000001</v>
      </c>
      <c r="F385" s="27">
        <v>2016</v>
      </c>
      <c r="G385" s="29">
        <v>6.9485000000000001</v>
      </c>
      <c r="H385" s="28">
        <f t="shared" si="18"/>
        <v>50.35144927536232</v>
      </c>
      <c r="I385" s="30">
        <f t="shared" si="19"/>
        <v>72.94202898550725</v>
      </c>
      <c r="J385" s="31">
        <v>1636</v>
      </c>
      <c r="K385" s="31">
        <v>641</v>
      </c>
      <c r="L385" s="31">
        <v>1678</v>
      </c>
      <c r="M385" s="32">
        <v>15.1</v>
      </c>
      <c r="N385" s="33">
        <f t="shared" si="20"/>
        <v>4.4585592289429862E-2</v>
      </c>
    </row>
    <row r="386" spans="1:34" x14ac:dyDescent="0.3">
      <c r="A386" s="27" t="s">
        <v>1101</v>
      </c>
      <c r="B386" s="27" t="s">
        <v>128</v>
      </c>
      <c r="C386" s="26" t="s">
        <v>1102</v>
      </c>
      <c r="D386" s="29">
        <v>136</v>
      </c>
      <c r="E386" s="29">
        <v>132.00399999999999</v>
      </c>
      <c r="F386" s="27">
        <v>2016</v>
      </c>
      <c r="G386" s="29">
        <v>63</v>
      </c>
      <c r="H386" s="28">
        <f t="shared" si="18"/>
        <v>46.323529411764703</v>
      </c>
      <c r="I386" s="30">
        <f t="shared" si="19"/>
        <v>97.061764705882339</v>
      </c>
      <c r="J386" s="31">
        <v>2179</v>
      </c>
      <c r="K386" s="31">
        <v>431</v>
      </c>
      <c r="L386" s="31">
        <v>2945</v>
      </c>
      <c r="M386" s="32">
        <v>17.600000000000001</v>
      </c>
      <c r="N386" s="33">
        <f t="shared" si="20"/>
        <v>4.4544178387279643E-2</v>
      </c>
    </row>
    <row r="387" spans="1:34" x14ac:dyDescent="0.3">
      <c r="A387" s="42" t="s">
        <v>464</v>
      </c>
      <c r="B387" s="17" t="s">
        <v>6</v>
      </c>
      <c r="C387" s="17" t="s">
        <v>465</v>
      </c>
      <c r="D387" s="43">
        <v>24.100000381469702</v>
      </c>
      <c r="E387" s="43">
        <v>13.9657936096191</v>
      </c>
      <c r="F387" s="17">
        <v>2014</v>
      </c>
      <c r="G387" s="36">
        <v>8.4608201980590803</v>
      </c>
      <c r="H387" s="28">
        <f t="shared" si="18"/>
        <v>35.107137195585018</v>
      </c>
      <c r="I387" s="30">
        <f t="shared" si="19"/>
        <v>57.949350159999533</v>
      </c>
      <c r="J387" s="31">
        <v>1303</v>
      </c>
      <c r="K387" s="30">
        <v>626</v>
      </c>
      <c r="L387" s="30">
        <v>1197</v>
      </c>
      <c r="M387" s="41">
        <v>13.6</v>
      </c>
      <c r="N387" s="33">
        <f t="shared" si="20"/>
        <v>4.4473791373752521E-2</v>
      </c>
      <c r="O387" s="9"/>
      <c r="P387" s="10"/>
      <c r="Q387" s="4"/>
      <c r="S387" s="8"/>
      <c r="T387" s="8"/>
      <c r="U387" s="8"/>
      <c r="V387" s="4"/>
      <c r="W387" s="8"/>
      <c r="X387" s="8"/>
      <c r="Y387" s="8"/>
      <c r="Z387" s="8"/>
      <c r="AA387" s="8"/>
      <c r="AB387" s="4"/>
      <c r="AC387" s="8"/>
      <c r="AD387" s="8"/>
      <c r="AE387" s="8"/>
      <c r="AF387" s="8"/>
      <c r="AG387" s="8"/>
      <c r="AH387" s="4"/>
    </row>
    <row r="388" spans="1:34" x14ac:dyDescent="0.3">
      <c r="A388" s="42" t="s">
        <v>334</v>
      </c>
      <c r="B388" s="17" t="s">
        <v>128</v>
      </c>
      <c r="C388" s="17" t="s">
        <v>335</v>
      </c>
      <c r="D388" s="43">
        <v>13.1000003814697</v>
      </c>
      <c r="E388" s="43">
        <v>9.4499998092651403</v>
      </c>
      <c r="F388" s="17">
        <v>2014</v>
      </c>
      <c r="G388" s="36">
        <v>6.3000001907348597</v>
      </c>
      <c r="H388" s="28">
        <f t="shared" si="18"/>
        <v>48.091603109007366</v>
      </c>
      <c r="I388" s="30">
        <f t="shared" si="19"/>
        <v>72.137401023532917</v>
      </c>
      <c r="J388" s="31">
        <v>1623</v>
      </c>
      <c r="K388" s="30">
        <v>635</v>
      </c>
      <c r="L388" s="30">
        <v>1674</v>
      </c>
      <c r="M388" s="41">
        <v>13.9</v>
      </c>
      <c r="N388" s="33">
        <f t="shared" si="20"/>
        <v>4.4446950723064024E-2</v>
      </c>
      <c r="O388" s="9"/>
      <c r="P388" s="10"/>
      <c r="Q388" s="4"/>
      <c r="S388" s="8"/>
      <c r="T388" s="8"/>
      <c r="U388" s="8"/>
      <c r="V388" s="4"/>
      <c r="W388" s="8"/>
      <c r="X388" s="8"/>
      <c r="Y388" s="8"/>
      <c r="Z388" s="8"/>
      <c r="AA388" s="8"/>
      <c r="AB388" s="4"/>
      <c r="AC388" s="8"/>
      <c r="AD388" s="8"/>
      <c r="AE388" s="8"/>
      <c r="AF388" s="8"/>
      <c r="AG388" s="8"/>
      <c r="AH388" s="4"/>
    </row>
    <row r="389" spans="1:34" x14ac:dyDescent="0.3">
      <c r="A389" s="27" t="s">
        <v>839</v>
      </c>
      <c r="B389" s="27" t="s">
        <v>128</v>
      </c>
      <c r="C389" s="26" t="s">
        <v>840</v>
      </c>
      <c r="D389" s="29">
        <v>8.3000000000000007</v>
      </c>
      <c r="E389" s="29">
        <v>6.2141999999999999</v>
      </c>
      <c r="F389" s="27">
        <v>2015</v>
      </c>
      <c r="G389" s="29">
        <v>5.0999999999999996</v>
      </c>
      <c r="H389" s="28">
        <f t="shared" si="18"/>
        <v>61.445783132530117</v>
      </c>
      <c r="I389" s="30">
        <f t="shared" si="19"/>
        <v>74.869879518072295</v>
      </c>
      <c r="J389" s="31">
        <v>1685</v>
      </c>
      <c r="K389" s="31">
        <v>659</v>
      </c>
      <c r="L389" s="31">
        <v>1707</v>
      </c>
      <c r="M389" s="32">
        <v>16.3</v>
      </c>
      <c r="N389" s="33">
        <f t="shared" si="20"/>
        <v>4.4433162918737265E-2</v>
      </c>
    </row>
    <row r="390" spans="1:34" x14ac:dyDescent="0.3">
      <c r="A390" s="27" t="s">
        <v>1099</v>
      </c>
      <c r="B390" s="27" t="s">
        <v>128</v>
      </c>
      <c r="C390" s="26" t="s">
        <v>1100</v>
      </c>
      <c r="D390" s="29">
        <v>46.4</v>
      </c>
      <c r="E390" s="29">
        <v>43.996000000000002</v>
      </c>
      <c r="F390" s="27">
        <v>2016</v>
      </c>
      <c r="G390" s="29">
        <v>21.5</v>
      </c>
      <c r="H390" s="28">
        <f t="shared" si="18"/>
        <v>46.336206896551722</v>
      </c>
      <c r="I390" s="30">
        <f t="shared" si="19"/>
        <v>94.818965517241381</v>
      </c>
      <c r="J390" s="31">
        <v>2142</v>
      </c>
      <c r="K390" s="31">
        <v>463</v>
      </c>
      <c r="L390" s="31">
        <v>2779</v>
      </c>
      <c r="M390" s="32">
        <v>20.3</v>
      </c>
      <c r="N390" s="33">
        <f t="shared" si="20"/>
        <v>4.4266557197591684E-2</v>
      </c>
    </row>
    <row r="391" spans="1:34" x14ac:dyDescent="0.3">
      <c r="A391" s="27" t="s">
        <v>851</v>
      </c>
      <c r="B391" s="27" t="s">
        <v>128</v>
      </c>
      <c r="C391" s="26" t="s">
        <v>852</v>
      </c>
      <c r="D391" s="29">
        <v>11</v>
      </c>
      <c r="E391" s="29">
        <v>8.1219999999999999</v>
      </c>
      <c r="F391" s="27">
        <v>2016</v>
      </c>
      <c r="G391" s="29">
        <v>6.6932999999999998</v>
      </c>
      <c r="H391" s="28">
        <f t="shared" si="18"/>
        <v>60.848181818181821</v>
      </c>
      <c r="I391" s="30">
        <f t="shared" si="19"/>
        <v>73.836363636363643</v>
      </c>
      <c r="J391" s="31">
        <v>1670</v>
      </c>
      <c r="K391" s="31">
        <v>657</v>
      </c>
      <c r="L391" s="31">
        <v>1686</v>
      </c>
      <c r="M391" s="32">
        <v>16.100000000000001</v>
      </c>
      <c r="N391" s="33">
        <f t="shared" si="20"/>
        <v>4.4213391399020148E-2</v>
      </c>
    </row>
    <row r="392" spans="1:34" x14ac:dyDescent="0.3">
      <c r="A392" s="27" t="s">
        <v>1149</v>
      </c>
      <c r="B392" s="27" t="s">
        <v>128</v>
      </c>
      <c r="C392" s="26" t="s">
        <v>1150</v>
      </c>
      <c r="D392" s="29">
        <v>54.3</v>
      </c>
      <c r="E392" s="29">
        <v>52.356000000000002</v>
      </c>
      <c r="F392" s="27">
        <v>2014</v>
      </c>
      <c r="G392" s="29">
        <v>23.9</v>
      </c>
      <c r="H392" s="28">
        <f t="shared" si="18"/>
        <v>44.014732965009209</v>
      </c>
      <c r="I392" s="30">
        <f t="shared" si="19"/>
        <v>96.41988950276243</v>
      </c>
      <c r="J392" s="31">
        <v>2181</v>
      </c>
      <c r="K392" s="31">
        <v>424</v>
      </c>
      <c r="L392" s="31">
        <v>2951</v>
      </c>
      <c r="M392" s="32">
        <v>16.2</v>
      </c>
      <c r="N392" s="33">
        <f t="shared" si="20"/>
        <v>4.4209027740835592E-2</v>
      </c>
      <c r="O392" s="9"/>
      <c r="Q392" s="4"/>
      <c r="S392" s="8"/>
      <c r="T392" s="8"/>
      <c r="U392" s="8"/>
      <c r="V392" s="4"/>
      <c r="W392" s="8"/>
      <c r="X392" s="8"/>
      <c r="Y392" s="8"/>
      <c r="Z392" s="8"/>
      <c r="AA392" s="8"/>
      <c r="AB392" s="4"/>
      <c r="AC392" s="8"/>
      <c r="AD392" s="8"/>
      <c r="AE392" s="8"/>
      <c r="AF392" s="8"/>
      <c r="AG392" s="8"/>
      <c r="AH392" s="4"/>
    </row>
    <row r="393" spans="1:34" x14ac:dyDescent="0.3">
      <c r="A393" s="27" t="s">
        <v>1075</v>
      </c>
      <c r="B393" s="27" t="s">
        <v>128</v>
      </c>
      <c r="C393" s="26" t="s">
        <v>1076</v>
      </c>
      <c r="D393" s="29">
        <v>212.2</v>
      </c>
      <c r="E393" s="29">
        <v>155.97800000000001</v>
      </c>
      <c r="F393" s="27">
        <v>2016</v>
      </c>
      <c r="G393" s="29">
        <v>100</v>
      </c>
      <c r="H393" s="28">
        <f t="shared" si="18"/>
        <v>47.125353440150803</v>
      </c>
      <c r="I393" s="30">
        <f t="shared" si="19"/>
        <v>73.505183788878412</v>
      </c>
      <c r="J393" s="31">
        <v>1665</v>
      </c>
      <c r="K393" s="31">
        <v>653</v>
      </c>
      <c r="L393" s="31">
        <v>1689</v>
      </c>
      <c r="M393" s="32">
        <v>16</v>
      </c>
      <c r="N393" s="33">
        <f t="shared" si="20"/>
        <v>4.4147257530857908E-2</v>
      </c>
    </row>
    <row r="394" spans="1:34" x14ac:dyDescent="0.3">
      <c r="A394" s="27" t="s">
        <v>1057</v>
      </c>
      <c r="B394" s="27" t="s">
        <v>128</v>
      </c>
      <c r="C394" s="26" t="s">
        <v>1058</v>
      </c>
      <c r="D394" s="29">
        <v>24.5</v>
      </c>
      <c r="E394" s="29">
        <v>22.210999999999999</v>
      </c>
      <c r="F394" s="27">
        <v>2017</v>
      </c>
      <c r="G394" s="29">
        <v>11.978400000000001</v>
      </c>
      <c r="H394" s="28">
        <f t="shared" si="18"/>
        <v>48.89142857142857</v>
      </c>
      <c r="I394" s="30">
        <f t="shared" si="19"/>
        <v>90.657142857142858</v>
      </c>
      <c r="J394" s="31">
        <v>2055</v>
      </c>
      <c r="K394" s="31">
        <v>485</v>
      </c>
      <c r="L394" s="31">
        <v>2556</v>
      </c>
      <c r="M394" s="32">
        <v>18.5</v>
      </c>
      <c r="N394" s="33">
        <f t="shared" si="20"/>
        <v>4.4115397984011123E-2</v>
      </c>
      <c r="O394" s="9"/>
      <c r="Q394" s="4"/>
      <c r="S394" s="8"/>
      <c r="T394" s="8"/>
      <c r="U394" s="8"/>
      <c r="V394" s="4"/>
      <c r="W394" s="8"/>
      <c r="X394" s="8"/>
      <c r="Y394" s="8"/>
      <c r="Z394" s="8"/>
      <c r="AA394" s="8"/>
      <c r="AB394" s="4"/>
      <c r="AC394" s="8"/>
      <c r="AD394" s="8"/>
      <c r="AE394" s="8"/>
      <c r="AF394" s="8"/>
      <c r="AG394" s="8"/>
      <c r="AH394" s="4"/>
    </row>
    <row r="395" spans="1:34" x14ac:dyDescent="0.3">
      <c r="A395" s="34" t="s">
        <v>168</v>
      </c>
      <c r="B395" s="16" t="s">
        <v>9</v>
      </c>
      <c r="C395" s="16" t="s">
        <v>169</v>
      </c>
      <c r="D395" s="35">
        <v>53</v>
      </c>
      <c r="E395" s="35">
        <v>46</v>
      </c>
      <c r="F395" s="16">
        <v>2014</v>
      </c>
      <c r="G395" s="36">
        <v>28.8</v>
      </c>
      <c r="H395" s="28">
        <f t="shared" si="18"/>
        <v>54.339622641509436</v>
      </c>
      <c r="I395" s="30">
        <f t="shared" si="19"/>
        <v>86.79245283018868</v>
      </c>
      <c r="J395" s="48">
        <v>1969</v>
      </c>
      <c r="K395" s="30">
        <v>958</v>
      </c>
      <c r="L395" s="30">
        <v>1440</v>
      </c>
      <c r="M395" s="31">
        <v>25.2</v>
      </c>
      <c r="N395" s="33">
        <f t="shared" si="20"/>
        <v>4.4079458014316245E-2</v>
      </c>
    </row>
    <row r="396" spans="1:34" x14ac:dyDescent="0.3">
      <c r="A396" s="27" t="s">
        <v>1141</v>
      </c>
      <c r="B396" s="27" t="s">
        <v>128</v>
      </c>
      <c r="C396" s="26" t="s">
        <v>1142</v>
      </c>
      <c r="D396" s="29">
        <v>16.7</v>
      </c>
      <c r="E396" s="29">
        <v>10.6075</v>
      </c>
      <c r="F396" s="27">
        <v>2015</v>
      </c>
      <c r="G396" s="29">
        <v>7.4</v>
      </c>
      <c r="H396" s="28">
        <f t="shared" si="18"/>
        <v>44.311377245508979</v>
      </c>
      <c r="I396" s="30">
        <f t="shared" si="19"/>
        <v>63.517964071856291</v>
      </c>
      <c r="J396" s="31">
        <v>1442</v>
      </c>
      <c r="K396" s="31">
        <v>606</v>
      </c>
      <c r="L396" s="31">
        <v>1459</v>
      </c>
      <c r="M396" s="32">
        <v>9.6</v>
      </c>
      <c r="N396" s="33">
        <f t="shared" si="20"/>
        <v>4.4048518773825443E-2</v>
      </c>
    </row>
    <row r="397" spans="1:34" x14ac:dyDescent="0.3">
      <c r="A397" s="27" t="s">
        <v>1016</v>
      </c>
      <c r="B397" s="27" t="s">
        <v>9</v>
      </c>
      <c r="C397" s="26" t="s">
        <v>1017</v>
      </c>
      <c r="D397" s="29">
        <v>19.399999999999999</v>
      </c>
      <c r="E397" s="29">
        <v>17</v>
      </c>
      <c r="F397" s="27">
        <v>2015</v>
      </c>
      <c r="G397" s="29">
        <v>10</v>
      </c>
      <c r="H397" s="28">
        <f t="shared" si="18"/>
        <v>51.546391752577321</v>
      </c>
      <c r="I397" s="30">
        <f t="shared" si="19"/>
        <v>87.628865979381445</v>
      </c>
      <c r="J397" s="31">
        <v>1993</v>
      </c>
      <c r="K397" s="31">
        <v>915</v>
      </c>
      <c r="L397" s="31">
        <v>1516</v>
      </c>
      <c r="M397" s="32">
        <v>25.9</v>
      </c>
      <c r="N397" s="33">
        <f t="shared" si="20"/>
        <v>4.3968322117100576E-2</v>
      </c>
    </row>
    <row r="398" spans="1:34" x14ac:dyDescent="0.3">
      <c r="A398" s="27" t="s">
        <v>962</v>
      </c>
      <c r="B398" s="27" t="s">
        <v>128</v>
      </c>
      <c r="C398" s="26" t="s">
        <v>963</v>
      </c>
      <c r="D398" s="29">
        <v>8.3000000000000007</v>
      </c>
      <c r="E398" s="29">
        <v>6.0190000000000001</v>
      </c>
      <c r="F398" s="27">
        <v>2015</v>
      </c>
      <c r="G398" s="29">
        <v>4.51</v>
      </c>
      <c r="H398" s="28">
        <f t="shared" si="18"/>
        <v>54.337349397590359</v>
      </c>
      <c r="I398" s="30">
        <f t="shared" si="19"/>
        <v>72.518072289156621</v>
      </c>
      <c r="J398" s="31">
        <v>1651</v>
      </c>
      <c r="K398" s="31">
        <v>639</v>
      </c>
      <c r="L398" s="31">
        <v>1706</v>
      </c>
      <c r="M398" s="32">
        <v>14</v>
      </c>
      <c r="N398" s="33">
        <f t="shared" si="20"/>
        <v>4.3923726401669666E-2</v>
      </c>
      <c r="O398" s="9"/>
      <c r="P398" s="10"/>
      <c r="Q398" s="4"/>
      <c r="S398" s="8"/>
      <c r="T398" s="8"/>
      <c r="U398" s="8"/>
      <c r="V398" s="4"/>
      <c r="W398" s="8"/>
      <c r="X398" s="8"/>
      <c r="Y398" s="8"/>
      <c r="Z398" s="8"/>
      <c r="AA398" s="8"/>
      <c r="AB398" s="4"/>
      <c r="AC398" s="8"/>
      <c r="AD398" s="8"/>
      <c r="AE398" s="8"/>
      <c r="AF398" s="8"/>
      <c r="AG398" s="8"/>
      <c r="AH398" s="4"/>
    </row>
    <row r="399" spans="1:34" x14ac:dyDescent="0.3">
      <c r="A399" s="27" t="s">
        <v>1061</v>
      </c>
      <c r="B399" s="27" t="s">
        <v>128</v>
      </c>
      <c r="C399" s="26" t="s">
        <v>1062</v>
      </c>
      <c r="D399" s="29">
        <v>14.1</v>
      </c>
      <c r="E399" s="29">
        <v>10.227499999999999</v>
      </c>
      <c r="F399" s="27">
        <v>2014</v>
      </c>
      <c r="G399" s="29">
        <v>6.8</v>
      </c>
      <c r="H399" s="28">
        <f t="shared" si="18"/>
        <v>48.226950354609926</v>
      </c>
      <c r="I399" s="30">
        <f t="shared" si="19"/>
        <v>72.535460992907801</v>
      </c>
      <c r="J399" s="31">
        <v>1661</v>
      </c>
      <c r="K399" s="31">
        <v>649</v>
      </c>
      <c r="L399" s="31">
        <v>1696</v>
      </c>
      <c r="M399" s="32">
        <v>15.6</v>
      </c>
      <c r="N399" s="33">
        <f t="shared" si="20"/>
        <v>4.3669753758523659E-2</v>
      </c>
      <c r="O399" s="54"/>
    </row>
    <row r="400" spans="1:34" x14ac:dyDescent="0.3">
      <c r="A400" s="27" t="s">
        <v>1215</v>
      </c>
      <c r="B400" s="27" t="s">
        <v>19</v>
      </c>
      <c r="C400" s="26" t="s">
        <v>1216</v>
      </c>
      <c r="D400" s="29">
        <v>100.8</v>
      </c>
      <c r="E400" s="29">
        <v>94</v>
      </c>
      <c r="F400" s="27">
        <v>2014</v>
      </c>
      <c r="G400" s="29">
        <v>40</v>
      </c>
      <c r="H400" s="28">
        <f t="shared" si="18"/>
        <v>39.682539682539684</v>
      </c>
      <c r="I400" s="30">
        <f t="shared" si="19"/>
        <v>93.253968253968253</v>
      </c>
      <c r="J400" s="31">
        <v>2136</v>
      </c>
      <c r="K400" s="31">
        <v>460</v>
      </c>
      <c r="L400" s="31">
        <v>2782</v>
      </c>
      <c r="M400" s="32">
        <v>15.1</v>
      </c>
      <c r="N400" s="33">
        <f t="shared" si="20"/>
        <v>4.3658224838000116E-2</v>
      </c>
    </row>
    <row r="401" spans="1:34" x14ac:dyDescent="0.3">
      <c r="A401" s="27" t="s">
        <v>170</v>
      </c>
      <c r="B401" s="27" t="s">
        <v>9</v>
      </c>
      <c r="C401" s="26" t="s">
        <v>171</v>
      </c>
      <c r="D401" s="29">
        <v>8.8000000000000007</v>
      </c>
      <c r="E401" s="29">
        <v>7.6</v>
      </c>
      <c r="F401" s="27">
        <v>2014</v>
      </c>
      <c r="G401" s="29">
        <v>5</v>
      </c>
      <c r="H401" s="28">
        <f t="shared" si="18"/>
        <v>56.81818181818182</v>
      </c>
      <c r="I401" s="30">
        <f t="shared" si="19"/>
        <v>86.36363636363636</v>
      </c>
      <c r="J401" s="31">
        <v>1980</v>
      </c>
      <c r="K401" s="31">
        <v>940</v>
      </c>
      <c r="L401" s="31">
        <v>1392</v>
      </c>
      <c r="M401" s="32">
        <v>27.2</v>
      </c>
      <c r="N401" s="33">
        <f t="shared" si="20"/>
        <v>4.3617998163452708E-2</v>
      </c>
      <c r="O401" s="54"/>
      <c r="Q401" s="54"/>
      <c r="S401" s="54"/>
      <c r="T401" s="54"/>
      <c r="U401" s="54"/>
      <c r="V401" s="54"/>
      <c r="W401" s="54"/>
      <c r="X401" s="54"/>
      <c r="Y401" s="54"/>
      <c r="Z401" s="54"/>
      <c r="AA401" s="54"/>
      <c r="AB401" s="54"/>
      <c r="AC401" s="54"/>
      <c r="AD401" s="54"/>
      <c r="AE401" s="54"/>
      <c r="AF401" s="54"/>
      <c r="AG401" s="54"/>
      <c r="AH401" s="54"/>
    </row>
    <row r="402" spans="1:34" x14ac:dyDescent="0.3">
      <c r="A402" s="42" t="s">
        <v>280</v>
      </c>
      <c r="B402" s="17" t="s">
        <v>23</v>
      </c>
      <c r="C402" s="17" t="s">
        <v>281</v>
      </c>
      <c r="D402" s="43">
        <v>130.60000610351599</v>
      </c>
      <c r="E402" s="43">
        <v>102.735000610352</v>
      </c>
      <c r="F402" s="17">
        <v>2015</v>
      </c>
      <c r="G402" s="36">
        <v>64.800003051757798</v>
      </c>
      <c r="H402" s="28">
        <f t="shared" si="18"/>
        <v>49.617151625855293</v>
      </c>
      <c r="I402" s="30">
        <f t="shared" si="19"/>
        <v>78.663855902826171</v>
      </c>
      <c r="J402" s="31">
        <v>1804</v>
      </c>
      <c r="K402" s="30">
        <v>587</v>
      </c>
      <c r="L402" s="30">
        <v>1966</v>
      </c>
      <c r="M402" s="41">
        <v>19</v>
      </c>
      <c r="N402" s="33">
        <f t="shared" si="20"/>
        <v>4.3605241631278366E-2</v>
      </c>
    </row>
    <row r="403" spans="1:34" x14ac:dyDescent="0.3">
      <c r="A403" s="42" t="s">
        <v>274</v>
      </c>
      <c r="B403" s="17" t="s">
        <v>14</v>
      </c>
      <c r="C403" s="17" t="s">
        <v>275</v>
      </c>
      <c r="D403" s="43">
        <v>1.79999995231628</v>
      </c>
      <c r="E403" s="43">
        <v>1.46000003814697</v>
      </c>
      <c r="F403" s="17">
        <v>2014</v>
      </c>
      <c r="G403" s="36">
        <v>1</v>
      </c>
      <c r="H403" s="28">
        <f t="shared" si="18"/>
        <v>55.555557027275356</v>
      </c>
      <c r="I403" s="30">
        <f t="shared" si="19"/>
        <v>81.111115379098194</v>
      </c>
      <c r="J403" s="31">
        <v>1865</v>
      </c>
      <c r="K403" s="30">
        <v>875</v>
      </c>
      <c r="L403" s="30">
        <v>1294</v>
      </c>
      <c r="M403" s="41">
        <v>26.6</v>
      </c>
      <c r="N403" s="33">
        <f t="shared" si="20"/>
        <v>4.3491214680481609E-2</v>
      </c>
    </row>
    <row r="404" spans="1:34" x14ac:dyDescent="0.3">
      <c r="A404" s="27" t="s">
        <v>1187</v>
      </c>
      <c r="B404" s="27" t="s">
        <v>128</v>
      </c>
      <c r="C404" s="26" t="s">
        <v>1188</v>
      </c>
      <c r="D404" s="29">
        <v>60.5</v>
      </c>
      <c r="E404" s="29">
        <v>57.113999999999997</v>
      </c>
      <c r="F404" s="27">
        <v>2016</v>
      </c>
      <c r="G404" s="29">
        <v>25</v>
      </c>
      <c r="H404" s="28">
        <f t="shared" si="18"/>
        <v>41.32231404958678</v>
      </c>
      <c r="I404" s="30">
        <f t="shared" si="19"/>
        <v>94.403305785123962</v>
      </c>
      <c r="J404" s="31">
        <v>2174</v>
      </c>
      <c r="K404" s="31">
        <v>421</v>
      </c>
      <c r="L404" s="31">
        <v>2960</v>
      </c>
      <c r="M404" s="32">
        <v>15.7</v>
      </c>
      <c r="N404" s="33">
        <f t="shared" si="20"/>
        <v>4.3423783709808629E-2</v>
      </c>
    </row>
    <row r="405" spans="1:34" x14ac:dyDescent="0.3">
      <c r="A405" s="27" t="s">
        <v>1167</v>
      </c>
      <c r="B405" s="27" t="s">
        <v>128</v>
      </c>
      <c r="C405" s="26" t="s">
        <v>1168</v>
      </c>
      <c r="D405" s="29">
        <v>14</v>
      </c>
      <c r="E405" s="29">
        <v>9.9879999999999995</v>
      </c>
      <c r="F405" s="27">
        <v>2016</v>
      </c>
      <c r="G405" s="29">
        <v>6</v>
      </c>
      <c r="H405" s="28">
        <f t="shared" si="18"/>
        <v>42.857142857142854</v>
      </c>
      <c r="I405" s="30">
        <f t="shared" si="19"/>
        <v>71.342857142857142</v>
      </c>
      <c r="J405" s="31">
        <v>1647</v>
      </c>
      <c r="K405" s="31">
        <v>646</v>
      </c>
      <c r="L405" s="31">
        <v>1681</v>
      </c>
      <c r="M405" s="32">
        <v>15.2</v>
      </c>
      <c r="N405" s="33">
        <f t="shared" si="20"/>
        <v>4.3316853152918729E-2</v>
      </c>
    </row>
    <row r="406" spans="1:34" x14ac:dyDescent="0.3">
      <c r="A406" s="42" t="s">
        <v>294</v>
      </c>
      <c r="B406" s="17" t="s">
        <v>128</v>
      </c>
      <c r="C406" s="17" t="s">
        <v>295</v>
      </c>
      <c r="D406" s="43">
        <v>13.300000190734901</v>
      </c>
      <c r="E406" s="43">
        <v>9.6000003814697301</v>
      </c>
      <c r="F406" s="17">
        <v>2014</v>
      </c>
      <c r="G406" s="36">
        <v>5</v>
      </c>
      <c r="H406" s="28">
        <f t="shared" si="18"/>
        <v>37.593984423271813</v>
      </c>
      <c r="I406" s="30">
        <f t="shared" si="19"/>
        <v>72.1804529608753</v>
      </c>
      <c r="J406" s="31">
        <v>1668</v>
      </c>
      <c r="K406" s="30">
        <v>565</v>
      </c>
      <c r="L406" s="30">
        <v>1686</v>
      </c>
      <c r="M406" s="41">
        <v>16.100000000000001</v>
      </c>
      <c r="N406" s="33">
        <f t="shared" si="20"/>
        <v>4.3273652854241784E-2</v>
      </c>
    </row>
    <row r="407" spans="1:34" x14ac:dyDescent="0.3">
      <c r="A407" s="27" t="s">
        <v>1123</v>
      </c>
      <c r="B407" s="27" t="s">
        <v>128</v>
      </c>
      <c r="C407" s="26" t="s">
        <v>1124</v>
      </c>
      <c r="D407" s="29">
        <v>145</v>
      </c>
      <c r="E407" s="29">
        <v>123.465</v>
      </c>
      <c r="F407" s="27">
        <v>2017</v>
      </c>
      <c r="G407" s="29">
        <v>65</v>
      </c>
      <c r="H407" s="28">
        <f t="shared" si="18"/>
        <v>44.827586206896555</v>
      </c>
      <c r="I407" s="30">
        <f t="shared" si="19"/>
        <v>85.148275862068971</v>
      </c>
      <c r="J407" s="31">
        <v>1973</v>
      </c>
      <c r="K407" s="31">
        <v>438</v>
      </c>
      <c r="L407" s="31">
        <v>2624</v>
      </c>
      <c r="M407" s="32">
        <v>12.5</v>
      </c>
      <c r="N407" s="33">
        <f t="shared" si="20"/>
        <v>4.3156754111540283E-2</v>
      </c>
    </row>
    <row r="408" spans="1:34" x14ac:dyDescent="0.3">
      <c r="A408" s="42" t="s">
        <v>272</v>
      </c>
      <c r="B408" s="17" t="s">
        <v>20</v>
      </c>
      <c r="C408" s="17" t="s">
        <v>273</v>
      </c>
      <c r="D408" s="43">
        <v>16.5</v>
      </c>
      <c r="E408" s="43">
        <v>13.3365430831909</v>
      </c>
      <c r="F408" s="17">
        <v>2015</v>
      </c>
      <c r="G408" s="36">
        <v>10</v>
      </c>
      <c r="H408" s="28">
        <f t="shared" si="18"/>
        <v>60.606060606060609</v>
      </c>
      <c r="I408" s="30">
        <f t="shared" si="19"/>
        <v>80.827533837520605</v>
      </c>
      <c r="J408" s="31">
        <v>1874</v>
      </c>
      <c r="K408" s="30">
        <v>914</v>
      </c>
      <c r="L408" s="30">
        <v>1316</v>
      </c>
      <c r="M408" s="41">
        <v>26.7</v>
      </c>
      <c r="N408" s="33">
        <f t="shared" si="20"/>
        <v>4.3131021258015267E-2</v>
      </c>
    </row>
    <row r="409" spans="1:34" x14ac:dyDescent="0.3">
      <c r="A409" s="27" t="s">
        <v>1161</v>
      </c>
      <c r="B409" s="27" t="s">
        <v>128</v>
      </c>
      <c r="C409" s="26" t="s">
        <v>1162</v>
      </c>
      <c r="D409" s="29">
        <v>60.8</v>
      </c>
      <c r="E409" s="29">
        <v>53.601999999999997</v>
      </c>
      <c r="F409" s="27">
        <v>2016</v>
      </c>
      <c r="G409" s="29">
        <v>26.2</v>
      </c>
      <c r="H409" s="28">
        <f t="shared" si="18"/>
        <v>43.092105263157897</v>
      </c>
      <c r="I409" s="30">
        <f t="shared" si="19"/>
        <v>88.161184210526315</v>
      </c>
      <c r="J409" s="31">
        <v>2045</v>
      </c>
      <c r="K409" s="31">
        <v>482</v>
      </c>
      <c r="L409" s="31">
        <v>2557</v>
      </c>
      <c r="M409" s="32">
        <v>19.100000000000001</v>
      </c>
      <c r="N409" s="33">
        <f t="shared" si="20"/>
        <v>4.3110603525929742E-2</v>
      </c>
    </row>
    <row r="410" spans="1:34" x14ac:dyDescent="0.3">
      <c r="A410" s="42" t="s">
        <v>292</v>
      </c>
      <c r="B410" s="17" t="s">
        <v>128</v>
      </c>
      <c r="C410" s="17" t="s">
        <v>293</v>
      </c>
      <c r="D410" s="43">
        <v>14</v>
      </c>
      <c r="E410" s="43">
        <v>10.050000190734901</v>
      </c>
      <c r="F410" s="17">
        <v>2014</v>
      </c>
      <c r="G410" s="36">
        <v>6.8000001907348597</v>
      </c>
      <c r="H410" s="28">
        <f t="shared" si="18"/>
        <v>48.571429933820426</v>
      </c>
      <c r="I410" s="30">
        <f t="shared" si="19"/>
        <v>71.785715648106432</v>
      </c>
      <c r="J410" s="31">
        <v>1669</v>
      </c>
      <c r="K410" s="30">
        <v>656</v>
      </c>
      <c r="L410" s="30">
        <v>1691</v>
      </c>
      <c r="M410" s="41">
        <v>16</v>
      </c>
      <c r="N410" s="33">
        <f t="shared" si="20"/>
        <v>4.3011213689698284E-2</v>
      </c>
    </row>
    <row r="411" spans="1:34" x14ac:dyDescent="0.3">
      <c r="A411" s="27" t="s">
        <v>1105</v>
      </c>
      <c r="B411" s="27" t="s">
        <v>128</v>
      </c>
      <c r="C411" s="26" t="s">
        <v>1106</v>
      </c>
      <c r="D411" s="29">
        <v>56.4</v>
      </c>
      <c r="E411" s="29">
        <v>49.749499999999998</v>
      </c>
      <c r="F411" s="27">
        <v>2014</v>
      </c>
      <c r="G411" s="29">
        <v>26</v>
      </c>
      <c r="H411" s="28">
        <f t="shared" si="18"/>
        <v>46.099290780141843</v>
      </c>
      <c r="I411" s="30">
        <f t="shared" si="19"/>
        <v>88.208333333333329</v>
      </c>
      <c r="J411" s="31">
        <v>2051</v>
      </c>
      <c r="K411" s="31">
        <v>479</v>
      </c>
      <c r="L411" s="31">
        <v>2575</v>
      </c>
      <c r="M411" s="32">
        <v>19</v>
      </c>
      <c r="N411" s="33">
        <f t="shared" si="20"/>
        <v>4.3007476027953843E-2</v>
      </c>
    </row>
    <row r="412" spans="1:34" x14ac:dyDescent="0.3">
      <c r="A412" s="27" t="s">
        <v>954</v>
      </c>
      <c r="B412" s="27" t="s">
        <v>128</v>
      </c>
      <c r="C412" s="26" t="s">
        <v>955</v>
      </c>
      <c r="D412" s="29">
        <v>30.2</v>
      </c>
      <c r="E412" s="29">
        <v>18.719000000000001</v>
      </c>
      <c r="F412" s="27">
        <v>2016</v>
      </c>
      <c r="G412" s="29">
        <v>16.5</v>
      </c>
      <c r="H412" s="28">
        <f t="shared" si="18"/>
        <v>54.635761589403977</v>
      </c>
      <c r="I412" s="30">
        <f t="shared" si="19"/>
        <v>61.983443708609272</v>
      </c>
      <c r="J412" s="31">
        <v>1443</v>
      </c>
      <c r="K412" s="31">
        <v>572</v>
      </c>
      <c r="L412" s="31">
        <v>1577</v>
      </c>
      <c r="M412" s="32">
        <v>8.4</v>
      </c>
      <c r="N412" s="33">
        <f t="shared" si="20"/>
        <v>4.2954569444635674E-2</v>
      </c>
    </row>
    <row r="413" spans="1:34" x14ac:dyDescent="0.3">
      <c r="A413" s="34" t="s">
        <v>172</v>
      </c>
      <c r="B413" s="16" t="s">
        <v>3</v>
      </c>
      <c r="C413" s="16" t="s">
        <v>173</v>
      </c>
      <c r="D413" s="35">
        <v>185.6</v>
      </c>
      <c r="E413" s="35">
        <v>206</v>
      </c>
      <c r="F413" s="16">
        <v>2015</v>
      </c>
      <c r="G413" s="36">
        <v>72.8</v>
      </c>
      <c r="H413" s="28">
        <f t="shared" si="18"/>
        <v>39.224137931034484</v>
      </c>
      <c r="I413" s="30">
        <f t="shared" si="19"/>
        <v>110.99137931034483</v>
      </c>
      <c r="J413" s="48">
        <v>2590</v>
      </c>
      <c r="K413" s="30">
        <v>510</v>
      </c>
      <c r="L413" s="30">
        <v>3209</v>
      </c>
      <c r="M413" s="31">
        <v>19.3</v>
      </c>
      <c r="N413" s="33">
        <f t="shared" si="20"/>
        <v>4.2853814405538544E-2</v>
      </c>
    </row>
    <row r="414" spans="1:34" x14ac:dyDescent="0.3">
      <c r="A414" s="27" t="s">
        <v>870</v>
      </c>
      <c r="B414" s="27" t="s">
        <v>128</v>
      </c>
      <c r="C414" s="26" t="s">
        <v>871</v>
      </c>
      <c r="D414" s="29">
        <v>11</v>
      </c>
      <c r="E414" s="29">
        <v>7.6844999999999999</v>
      </c>
      <c r="F414" s="27">
        <v>2014</v>
      </c>
      <c r="G414" s="29">
        <v>6.6</v>
      </c>
      <c r="H414" s="28">
        <f t="shared" si="18"/>
        <v>60</v>
      </c>
      <c r="I414" s="30">
        <f t="shared" si="19"/>
        <v>69.859090909090909</v>
      </c>
      <c r="J414" s="31">
        <v>1632</v>
      </c>
      <c r="K414" s="31">
        <v>637</v>
      </c>
      <c r="L414" s="31">
        <v>1683</v>
      </c>
      <c r="M414" s="32">
        <v>14.2</v>
      </c>
      <c r="N414" s="33">
        <f t="shared" si="20"/>
        <v>4.2805815508021393E-2</v>
      </c>
    </row>
    <row r="415" spans="1:34" x14ac:dyDescent="0.3">
      <c r="A415" s="42" t="s">
        <v>481</v>
      </c>
      <c r="B415" s="17" t="s">
        <v>6</v>
      </c>
      <c r="C415" s="17" t="s">
        <v>482</v>
      </c>
      <c r="D415" s="43">
        <v>13.199999809265099</v>
      </c>
      <c r="E415" s="43">
        <v>7.0920000076293901</v>
      </c>
      <c r="F415" s="17">
        <v>2016</v>
      </c>
      <c r="G415" s="36">
        <v>5.1999998092651403</v>
      </c>
      <c r="H415" s="28">
        <f t="shared" si="18"/>
        <v>39.39393851820553</v>
      </c>
      <c r="I415" s="30">
        <f t="shared" si="19"/>
        <v>53.727273561409483</v>
      </c>
      <c r="J415" s="31">
        <v>1260</v>
      </c>
      <c r="K415" s="30">
        <v>607</v>
      </c>
      <c r="L415" s="30">
        <v>1190</v>
      </c>
      <c r="M415" s="41">
        <v>12.4</v>
      </c>
      <c r="N415" s="33">
        <f t="shared" si="20"/>
        <v>4.2640693302705937E-2</v>
      </c>
    </row>
    <row r="416" spans="1:34" x14ac:dyDescent="0.3">
      <c r="A416" s="27" t="s">
        <v>1063</v>
      </c>
      <c r="B416" s="27" t="s">
        <v>128</v>
      </c>
      <c r="C416" s="26" t="s">
        <v>1064</v>
      </c>
      <c r="D416" s="29">
        <v>174.9</v>
      </c>
      <c r="E416" s="29">
        <v>150</v>
      </c>
      <c r="F416" s="27">
        <v>2016</v>
      </c>
      <c r="G416" s="29">
        <v>84</v>
      </c>
      <c r="H416" s="28">
        <f t="shared" si="18"/>
        <v>48.02744425385935</v>
      </c>
      <c r="I416" s="30">
        <f t="shared" si="19"/>
        <v>85.763293310463126</v>
      </c>
      <c r="J416" s="31">
        <v>2013</v>
      </c>
      <c r="K416" s="31">
        <v>479</v>
      </c>
      <c r="L416" s="31">
        <v>2534</v>
      </c>
      <c r="M416" s="32">
        <v>19.399999999999999</v>
      </c>
      <c r="N416" s="33">
        <f t="shared" si="20"/>
        <v>4.2604716001223612E-2</v>
      </c>
      <c r="O416" s="54"/>
      <c r="Q416" s="54"/>
      <c r="S416" s="54"/>
      <c r="T416" s="54"/>
      <c r="U416" s="54"/>
      <c r="V416" s="54"/>
      <c r="W416" s="54"/>
      <c r="X416" s="54"/>
      <c r="Y416" s="54"/>
      <c r="Z416" s="54"/>
      <c r="AA416" s="54"/>
      <c r="AB416" s="54"/>
      <c r="AC416" s="54"/>
      <c r="AD416" s="54"/>
      <c r="AE416" s="54"/>
      <c r="AF416" s="54"/>
      <c r="AG416" s="54"/>
      <c r="AH416" s="54"/>
    </row>
    <row r="417" spans="1:34" x14ac:dyDescent="0.3">
      <c r="A417" s="27" t="s">
        <v>1077</v>
      </c>
      <c r="B417" s="27" t="s">
        <v>128</v>
      </c>
      <c r="C417" s="26" t="s">
        <v>1078</v>
      </c>
      <c r="D417" s="29">
        <v>13.8</v>
      </c>
      <c r="E417" s="29">
        <v>9.5065000000000008</v>
      </c>
      <c r="F417" s="27">
        <v>2015</v>
      </c>
      <c r="G417" s="29">
        <v>6.5</v>
      </c>
      <c r="H417" s="28">
        <f t="shared" si="18"/>
        <v>47.10144927536232</v>
      </c>
      <c r="I417" s="30">
        <f t="shared" si="19"/>
        <v>68.887681159420296</v>
      </c>
      <c r="J417" s="31">
        <v>1618</v>
      </c>
      <c r="K417" s="31">
        <v>637</v>
      </c>
      <c r="L417" s="31">
        <v>1663</v>
      </c>
      <c r="M417" s="32">
        <v>14.4</v>
      </c>
      <c r="N417" s="33">
        <f t="shared" si="20"/>
        <v>4.257582271904839E-2</v>
      </c>
    </row>
    <row r="418" spans="1:34" x14ac:dyDescent="0.3">
      <c r="A418" s="27" t="s">
        <v>1053</v>
      </c>
      <c r="B418" s="27" t="s">
        <v>128</v>
      </c>
      <c r="C418" s="26" t="s">
        <v>1054</v>
      </c>
      <c r="D418" s="29">
        <v>13.2</v>
      </c>
      <c r="E418" s="29">
        <v>9.1820000000000004</v>
      </c>
      <c r="F418" s="27">
        <v>2014</v>
      </c>
      <c r="G418" s="29">
        <v>6.49</v>
      </c>
      <c r="H418" s="28">
        <f t="shared" si="18"/>
        <v>49.166666666666664</v>
      </c>
      <c r="I418" s="30">
        <f t="shared" si="19"/>
        <v>69.560606060606062</v>
      </c>
      <c r="J418" s="31">
        <v>1634</v>
      </c>
      <c r="K418" s="31">
        <v>649</v>
      </c>
      <c r="L418" s="31">
        <v>1661</v>
      </c>
      <c r="M418" s="32">
        <v>15.3</v>
      </c>
      <c r="N418" s="33">
        <f t="shared" si="20"/>
        <v>4.2570750343088166E-2</v>
      </c>
    </row>
    <row r="419" spans="1:34" x14ac:dyDescent="0.3">
      <c r="A419" s="27" t="s">
        <v>1093</v>
      </c>
      <c r="B419" s="27" t="s">
        <v>21</v>
      </c>
      <c r="C419" s="26" t="s">
        <v>1094</v>
      </c>
      <c r="D419" s="29">
        <v>17.2</v>
      </c>
      <c r="E419" s="29">
        <v>18.948270000000001</v>
      </c>
      <c r="F419" s="27">
        <v>2017</v>
      </c>
      <c r="G419" s="29">
        <v>11.67484</v>
      </c>
      <c r="H419" s="28">
        <f t="shared" si="18"/>
        <v>67.876976744186052</v>
      </c>
      <c r="I419" s="30">
        <f t="shared" si="19"/>
        <v>110.16436046511627</v>
      </c>
      <c r="J419" s="31">
        <v>1781</v>
      </c>
      <c r="K419" s="31">
        <v>636</v>
      </c>
      <c r="L419" s="31">
        <v>1852</v>
      </c>
      <c r="M419" s="32">
        <v>15.3</v>
      </c>
      <c r="N419" s="33">
        <f t="shared" si="20"/>
        <v>6.1855339957954114E-2</v>
      </c>
    </row>
    <row r="420" spans="1:34" x14ac:dyDescent="0.3">
      <c r="A420" s="34" t="s">
        <v>174</v>
      </c>
      <c r="B420" s="16" t="s">
        <v>17</v>
      </c>
      <c r="C420" s="16" t="s">
        <v>175</v>
      </c>
      <c r="D420" s="35">
        <v>15.3</v>
      </c>
      <c r="E420" s="35">
        <v>11.379</v>
      </c>
      <c r="F420" s="16">
        <v>2015</v>
      </c>
      <c r="G420" s="36">
        <v>8.5</v>
      </c>
      <c r="H420" s="28">
        <f t="shared" si="18"/>
        <v>55.555555555555557</v>
      </c>
      <c r="I420" s="30">
        <f t="shared" si="19"/>
        <v>74.372549019607845</v>
      </c>
      <c r="J420" s="48">
        <v>1750</v>
      </c>
      <c r="K420" s="30">
        <v>836</v>
      </c>
      <c r="L420" s="30">
        <v>1307</v>
      </c>
      <c r="M420" s="31">
        <v>25.8</v>
      </c>
      <c r="N420" s="33">
        <f t="shared" si="20"/>
        <v>4.2498599439775915E-2</v>
      </c>
    </row>
    <row r="421" spans="1:34" x14ac:dyDescent="0.3">
      <c r="A421" s="27" t="s">
        <v>922</v>
      </c>
      <c r="B421" s="27" t="s">
        <v>11</v>
      </c>
      <c r="C421" s="26" t="s">
        <v>923</v>
      </c>
      <c r="D421" s="29">
        <v>55.5</v>
      </c>
      <c r="E421" s="29">
        <v>32.729999999999997</v>
      </c>
      <c r="F421" s="27">
        <v>2015</v>
      </c>
      <c r="G421" s="29">
        <v>31.4</v>
      </c>
      <c r="H421" s="28">
        <f t="shared" si="18"/>
        <v>56.576576576576578</v>
      </c>
      <c r="I421" s="30">
        <f t="shared" si="19"/>
        <v>58.972972972972968</v>
      </c>
      <c r="J421" s="31">
        <v>1391</v>
      </c>
      <c r="K421" s="31">
        <v>686</v>
      </c>
      <c r="L421" s="31">
        <v>1219</v>
      </c>
      <c r="M421" s="32">
        <v>11.3</v>
      </c>
      <c r="N421" s="33">
        <f t="shared" si="20"/>
        <v>4.2396098470864819E-2</v>
      </c>
    </row>
    <row r="422" spans="1:34" x14ac:dyDescent="0.3">
      <c r="A422" s="27" t="s">
        <v>1111</v>
      </c>
      <c r="B422" s="27" t="s">
        <v>128</v>
      </c>
      <c r="C422" s="26" t="s">
        <v>1112</v>
      </c>
      <c r="D422" s="29">
        <v>14.3</v>
      </c>
      <c r="E422" s="29">
        <v>10.089</v>
      </c>
      <c r="F422" s="27">
        <v>2015</v>
      </c>
      <c r="G422" s="29">
        <v>6.5</v>
      </c>
      <c r="H422" s="28">
        <f t="shared" si="18"/>
        <v>45.454545454545453</v>
      </c>
      <c r="I422" s="30">
        <f t="shared" si="19"/>
        <v>70.552447552447546</v>
      </c>
      <c r="J422" s="31">
        <v>1666</v>
      </c>
      <c r="K422" s="31">
        <v>654</v>
      </c>
      <c r="L422" s="31">
        <v>1689</v>
      </c>
      <c r="M422" s="32">
        <v>16</v>
      </c>
      <c r="N422" s="33">
        <f t="shared" si="20"/>
        <v>4.2348407894626378E-2</v>
      </c>
    </row>
    <row r="423" spans="1:34" x14ac:dyDescent="0.3">
      <c r="A423" s="34" t="s">
        <v>176</v>
      </c>
      <c r="B423" s="16" t="s">
        <v>6</v>
      </c>
      <c r="C423" s="16" t="s">
        <v>177</v>
      </c>
      <c r="D423" s="35">
        <v>30.5</v>
      </c>
      <c r="E423" s="35">
        <v>16.899999999999999</v>
      </c>
      <c r="F423" s="16">
        <v>2014</v>
      </c>
      <c r="G423" s="36">
        <v>12</v>
      </c>
      <c r="H423" s="28">
        <f t="shared" si="18"/>
        <v>39.344262295081968</v>
      </c>
      <c r="I423" s="30">
        <f t="shared" si="19"/>
        <v>55.409836065573771</v>
      </c>
      <c r="J423" s="48">
        <v>1311</v>
      </c>
      <c r="K423" s="30">
        <v>619</v>
      </c>
      <c r="L423" s="30">
        <v>1241</v>
      </c>
      <c r="M423" s="31">
        <v>14</v>
      </c>
      <c r="N423" s="33">
        <f t="shared" si="20"/>
        <v>4.2265321178927361E-2</v>
      </c>
    </row>
    <row r="424" spans="1:34" x14ac:dyDescent="0.3">
      <c r="A424" s="42" t="s">
        <v>360</v>
      </c>
      <c r="B424" s="17" t="s">
        <v>4</v>
      </c>
      <c r="C424" s="17" t="s">
        <v>361</v>
      </c>
      <c r="D424" s="43">
        <v>49.200000762939503</v>
      </c>
      <c r="E424" s="43">
        <v>31.500999450683601</v>
      </c>
      <c r="F424" s="17">
        <v>2014</v>
      </c>
      <c r="G424" s="36">
        <v>20.304000854492202</v>
      </c>
      <c r="H424" s="28">
        <f t="shared" si="18"/>
        <v>41.26829377975627</v>
      </c>
      <c r="I424" s="30">
        <f t="shared" si="19"/>
        <v>64.026420654879558</v>
      </c>
      <c r="J424" s="31">
        <v>1515</v>
      </c>
      <c r="K424" s="30">
        <v>751</v>
      </c>
      <c r="L424" s="30">
        <v>1321</v>
      </c>
      <c r="M424" s="41">
        <v>11.5</v>
      </c>
      <c r="N424" s="33">
        <f t="shared" si="20"/>
        <v>4.2261663798600371E-2</v>
      </c>
    </row>
    <row r="425" spans="1:34" x14ac:dyDescent="0.3">
      <c r="A425" s="27" t="s">
        <v>705</v>
      </c>
      <c r="B425" s="27" t="s">
        <v>128</v>
      </c>
      <c r="C425" s="26" t="s">
        <v>706</v>
      </c>
      <c r="D425" s="29">
        <v>9.4</v>
      </c>
      <c r="E425" s="29">
        <v>6.5793330000000001</v>
      </c>
      <c r="F425" s="27">
        <v>2015</v>
      </c>
      <c r="G425" s="29">
        <v>6.5686999999999998</v>
      </c>
      <c r="H425" s="28">
        <f t="shared" si="18"/>
        <v>69.879787234042553</v>
      </c>
      <c r="I425" s="30">
        <f t="shared" si="19"/>
        <v>69.992904255319147</v>
      </c>
      <c r="J425" s="31">
        <v>1658</v>
      </c>
      <c r="K425" s="31">
        <v>648</v>
      </c>
      <c r="L425" s="31">
        <v>1690</v>
      </c>
      <c r="M425" s="32">
        <v>15.8</v>
      </c>
      <c r="N425" s="33">
        <f t="shared" si="20"/>
        <v>4.2215261915150272E-2</v>
      </c>
    </row>
    <row r="426" spans="1:34" x14ac:dyDescent="0.3">
      <c r="A426" s="34" t="s">
        <v>178</v>
      </c>
      <c r="B426" s="16" t="s">
        <v>4</v>
      </c>
      <c r="C426" s="16" t="s">
        <v>179</v>
      </c>
      <c r="D426" s="35">
        <v>105.7</v>
      </c>
      <c r="E426" s="35">
        <v>79.5</v>
      </c>
      <c r="F426" s="16">
        <v>2015</v>
      </c>
      <c r="G426" s="36">
        <v>50</v>
      </c>
      <c r="H426" s="28">
        <f t="shared" si="18"/>
        <v>47.303689687795647</v>
      </c>
      <c r="I426" s="30">
        <f t="shared" si="19"/>
        <v>75.212866603595074</v>
      </c>
      <c r="J426" s="48">
        <v>1782</v>
      </c>
      <c r="K426" s="30">
        <v>681</v>
      </c>
      <c r="L426" s="30">
        <v>1889</v>
      </c>
      <c r="M426" s="31">
        <v>3.8</v>
      </c>
      <c r="N426" s="33">
        <f t="shared" si="20"/>
        <v>4.2206995849379952E-2</v>
      </c>
    </row>
    <row r="427" spans="1:34" x14ac:dyDescent="0.3">
      <c r="A427" s="27" t="s">
        <v>1079</v>
      </c>
      <c r="B427" s="27" t="s">
        <v>128</v>
      </c>
      <c r="C427" s="26" t="s">
        <v>1080</v>
      </c>
      <c r="D427" s="29">
        <v>13.8</v>
      </c>
      <c r="E427" s="29">
        <v>8.2260000000000009</v>
      </c>
      <c r="F427" s="27">
        <v>2017</v>
      </c>
      <c r="G427" s="29">
        <v>6.5</v>
      </c>
      <c r="H427" s="28">
        <f t="shared" si="18"/>
        <v>47.10144927536232</v>
      </c>
      <c r="I427" s="30">
        <f t="shared" si="19"/>
        <v>59.608695652173921</v>
      </c>
      <c r="J427" s="31">
        <v>1413</v>
      </c>
      <c r="K427" s="31">
        <v>543</v>
      </c>
      <c r="L427" s="31">
        <v>1618</v>
      </c>
      <c r="M427" s="32">
        <v>6.8</v>
      </c>
      <c r="N427" s="33">
        <f t="shared" si="20"/>
        <v>4.2185913412720398E-2</v>
      </c>
    </row>
    <row r="428" spans="1:34" x14ac:dyDescent="0.3">
      <c r="A428" s="27" t="s">
        <v>1067</v>
      </c>
      <c r="B428" s="27" t="s">
        <v>128</v>
      </c>
      <c r="C428" s="26" t="s">
        <v>1068</v>
      </c>
      <c r="D428" s="29">
        <v>7.1</v>
      </c>
      <c r="E428" s="29">
        <v>5.6840000000000002</v>
      </c>
      <c r="F428" s="27">
        <v>2015</v>
      </c>
      <c r="G428" s="29">
        <v>3.4</v>
      </c>
      <c r="H428" s="28">
        <f t="shared" si="18"/>
        <v>47.887323943661968</v>
      </c>
      <c r="I428" s="30">
        <f t="shared" si="19"/>
        <v>80.056338028169009</v>
      </c>
      <c r="J428" s="31">
        <v>1910</v>
      </c>
      <c r="K428" s="31">
        <v>498</v>
      </c>
      <c r="L428" s="31">
        <v>2448</v>
      </c>
      <c r="M428" s="32">
        <v>9.9</v>
      </c>
      <c r="N428" s="33">
        <f t="shared" si="20"/>
        <v>4.191431310375341E-2</v>
      </c>
      <c r="O428" s="9"/>
      <c r="P428" s="10"/>
      <c r="Q428" s="4"/>
      <c r="S428" s="8"/>
      <c r="T428" s="8"/>
      <c r="U428" s="8"/>
      <c r="V428" s="4"/>
      <c r="W428" s="8"/>
      <c r="X428" s="8"/>
      <c r="Y428" s="8"/>
      <c r="Z428" s="8"/>
      <c r="AA428" s="8"/>
      <c r="AB428" s="4"/>
      <c r="AC428" s="8"/>
      <c r="AD428" s="8"/>
      <c r="AE428" s="8"/>
      <c r="AF428" s="8"/>
      <c r="AG428" s="8"/>
      <c r="AH428" s="4"/>
    </row>
    <row r="429" spans="1:34" x14ac:dyDescent="0.3">
      <c r="A429" s="27" t="s">
        <v>1183</v>
      </c>
      <c r="B429" s="27" t="s">
        <v>128</v>
      </c>
      <c r="C429" s="26" t="s">
        <v>1184</v>
      </c>
      <c r="D429" s="29">
        <v>62.4</v>
      </c>
      <c r="E429" s="29">
        <v>52.368670000000002</v>
      </c>
      <c r="F429" s="27">
        <v>2014</v>
      </c>
      <c r="G429" s="29">
        <v>26</v>
      </c>
      <c r="H429" s="28">
        <f t="shared" si="18"/>
        <v>41.666666666666664</v>
      </c>
      <c r="I429" s="30">
        <f t="shared" si="19"/>
        <v>83.924150641025648</v>
      </c>
      <c r="J429" s="31">
        <v>2011</v>
      </c>
      <c r="K429" s="31">
        <v>496</v>
      </c>
      <c r="L429" s="31">
        <v>2477</v>
      </c>
      <c r="M429" s="32">
        <v>19.100000000000001</v>
      </c>
      <c r="N429" s="33">
        <f t="shared" si="20"/>
        <v>4.1732546315776053E-2</v>
      </c>
    </row>
    <row r="430" spans="1:34" x14ac:dyDescent="0.3">
      <c r="A430" s="27" t="s">
        <v>1097</v>
      </c>
      <c r="B430" s="27" t="s">
        <v>128</v>
      </c>
      <c r="C430" s="26" t="s">
        <v>1098</v>
      </c>
      <c r="D430" s="29">
        <v>14</v>
      </c>
      <c r="E430" s="29">
        <v>9.6735000000000007</v>
      </c>
      <c r="F430" s="27">
        <v>2015</v>
      </c>
      <c r="G430" s="29">
        <v>6.5</v>
      </c>
      <c r="H430" s="28">
        <f t="shared" si="18"/>
        <v>46.428571428571431</v>
      </c>
      <c r="I430" s="30">
        <f t="shared" si="19"/>
        <v>69.096428571428575</v>
      </c>
      <c r="J430" s="31">
        <v>1656</v>
      </c>
      <c r="K430" s="31">
        <v>651</v>
      </c>
      <c r="L430" s="31">
        <v>1682</v>
      </c>
      <c r="M430" s="32">
        <v>15.1</v>
      </c>
      <c r="N430" s="33">
        <f t="shared" si="20"/>
        <v>4.1724896480331265E-2</v>
      </c>
    </row>
    <row r="431" spans="1:34" x14ac:dyDescent="0.3">
      <c r="A431" s="34" t="s">
        <v>180</v>
      </c>
      <c r="B431" s="16" t="s">
        <v>4</v>
      </c>
      <c r="C431" s="16" t="s">
        <v>181</v>
      </c>
      <c r="D431" s="35">
        <v>120.8</v>
      </c>
      <c r="E431" s="35">
        <v>80</v>
      </c>
      <c r="F431" s="16">
        <v>2016</v>
      </c>
      <c r="G431" s="36">
        <v>60</v>
      </c>
      <c r="H431" s="28">
        <f t="shared" si="18"/>
        <v>49.668874172185433</v>
      </c>
      <c r="I431" s="30">
        <f t="shared" si="19"/>
        <v>66.225165562913901</v>
      </c>
      <c r="J431" s="48">
        <v>1588</v>
      </c>
      <c r="K431" s="30">
        <v>804</v>
      </c>
      <c r="L431" s="30">
        <v>1214</v>
      </c>
      <c r="M431" s="31">
        <v>13.6</v>
      </c>
      <c r="N431" s="33">
        <f t="shared" si="20"/>
        <v>4.1703504762540242E-2</v>
      </c>
    </row>
    <row r="432" spans="1:34" x14ac:dyDescent="0.3">
      <c r="A432" s="42" t="s">
        <v>416</v>
      </c>
      <c r="B432" s="17" t="s">
        <v>128</v>
      </c>
      <c r="C432" s="17" t="s">
        <v>417</v>
      </c>
      <c r="D432" s="43">
        <v>8.6999998092651403</v>
      </c>
      <c r="E432" s="43">
        <v>5.1999998092651403</v>
      </c>
      <c r="F432" s="17">
        <v>2015</v>
      </c>
      <c r="G432" s="36">
        <v>4.4460000991821298</v>
      </c>
      <c r="H432" s="28">
        <f t="shared" si="18"/>
        <v>51.103450536255458</v>
      </c>
      <c r="I432" s="30">
        <f t="shared" si="19"/>
        <v>59.770114060546945</v>
      </c>
      <c r="J432" s="31">
        <v>1435</v>
      </c>
      <c r="K432" s="30">
        <v>605</v>
      </c>
      <c r="L432" s="30">
        <v>1441</v>
      </c>
      <c r="M432" s="41">
        <v>9.6999999999999993</v>
      </c>
      <c r="N432" s="33">
        <f t="shared" si="20"/>
        <v>4.1651647428952575E-2</v>
      </c>
    </row>
    <row r="433" spans="1:34" x14ac:dyDescent="0.3">
      <c r="A433" s="27" t="s">
        <v>994</v>
      </c>
      <c r="B433" s="27" t="s">
        <v>128</v>
      </c>
      <c r="C433" s="26" t="s">
        <v>995</v>
      </c>
      <c r="D433" s="29">
        <v>32.299999999999997</v>
      </c>
      <c r="E433" s="29">
        <v>22.352</v>
      </c>
      <c r="F433" s="27">
        <v>2015</v>
      </c>
      <c r="G433" s="29">
        <v>17</v>
      </c>
      <c r="H433" s="28">
        <f t="shared" si="18"/>
        <v>52.631578947368418</v>
      </c>
      <c r="I433" s="30">
        <f t="shared" si="19"/>
        <v>69.201238390092882</v>
      </c>
      <c r="J433" s="31">
        <v>1663</v>
      </c>
      <c r="K433" s="31">
        <v>650</v>
      </c>
      <c r="L433" s="31">
        <v>1699</v>
      </c>
      <c r="M433" s="32">
        <v>17.100000000000001</v>
      </c>
      <c r="N433" s="33">
        <f t="shared" si="20"/>
        <v>4.1612290072214599E-2</v>
      </c>
    </row>
    <row r="434" spans="1:34" x14ac:dyDescent="0.3">
      <c r="A434" s="34" t="s">
        <v>182</v>
      </c>
      <c r="B434" s="16" t="s">
        <v>0</v>
      </c>
      <c r="C434" s="16" t="s">
        <v>183</v>
      </c>
      <c r="D434" s="35">
        <v>317.10000000000002</v>
      </c>
      <c r="E434" s="35">
        <v>263.10000000000002</v>
      </c>
      <c r="F434" s="16">
        <v>2018</v>
      </c>
      <c r="G434" s="36">
        <v>130</v>
      </c>
      <c r="H434" s="28">
        <f t="shared" si="18"/>
        <v>40.996531062756226</v>
      </c>
      <c r="I434" s="30">
        <f t="shared" si="19"/>
        <v>82.970671712393582</v>
      </c>
      <c r="J434" s="48">
        <v>1994</v>
      </c>
      <c r="K434" s="30">
        <v>688</v>
      </c>
      <c r="L434" s="30">
        <v>2053</v>
      </c>
      <c r="M434" s="31">
        <v>23.3</v>
      </c>
      <c r="N434" s="33">
        <f t="shared" si="20"/>
        <v>4.161016635526258E-2</v>
      </c>
    </row>
    <row r="435" spans="1:34" x14ac:dyDescent="0.3">
      <c r="A435" s="27" t="s">
        <v>1271</v>
      </c>
      <c r="B435" s="27" t="s">
        <v>128</v>
      </c>
      <c r="C435" s="26" t="s">
        <v>1272</v>
      </c>
      <c r="D435" s="29">
        <v>29.2</v>
      </c>
      <c r="E435" s="29">
        <v>20.8</v>
      </c>
      <c r="F435" s="27">
        <v>2016</v>
      </c>
      <c r="G435" s="29">
        <v>10.5</v>
      </c>
      <c r="H435" s="28">
        <f t="shared" si="18"/>
        <v>35.958904109589042</v>
      </c>
      <c r="I435" s="30">
        <f t="shared" si="19"/>
        <v>71.232876712328761</v>
      </c>
      <c r="J435" s="31">
        <v>1713</v>
      </c>
      <c r="K435" s="31">
        <v>496</v>
      </c>
      <c r="L435" s="31">
        <v>2090</v>
      </c>
      <c r="M435" s="32">
        <v>8.5</v>
      </c>
      <c r="N435" s="33">
        <f t="shared" si="20"/>
        <v>4.1583699189917549E-2</v>
      </c>
      <c r="O435" s="9"/>
      <c r="P435" s="10"/>
      <c r="Q435" s="4"/>
      <c r="S435" s="8"/>
      <c r="T435" s="8"/>
      <c r="U435" s="8"/>
      <c r="V435" s="4"/>
      <c r="W435" s="8"/>
      <c r="X435" s="8"/>
      <c r="Y435" s="8"/>
      <c r="Z435" s="8"/>
      <c r="AA435" s="8"/>
      <c r="AB435" s="4"/>
      <c r="AC435" s="8"/>
      <c r="AD435" s="8"/>
      <c r="AE435" s="8"/>
      <c r="AF435" s="8"/>
      <c r="AG435" s="8"/>
      <c r="AH435" s="4"/>
    </row>
    <row r="436" spans="1:34" x14ac:dyDescent="0.3">
      <c r="A436" s="27" t="s">
        <v>1131</v>
      </c>
      <c r="B436" s="27" t="s">
        <v>128</v>
      </c>
      <c r="C436" s="26" t="s">
        <v>1132</v>
      </c>
      <c r="D436" s="29">
        <v>62.7</v>
      </c>
      <c r="E436" s="29">
        <v>51.261000000000003</v>
      </c>
      <c r="F436" s="27">
        <v>2016</v>
      </c>
      <c r="G436" s="29">
        <v>28</v>
      </c>
      <c r="H436" s="28">
        <f t="shared" si="18"/>
        <v>44.657097288676233</v>
      </c>
      <c r="I436" s="30">
        <f t="shared" si="19"/>
        <v>81.755980861244012</v>
      </c>
      <c r="J436" s="31">
        <v>1972</v>
      </c>
      <c r="K436" s="31">
        <v>473</v>
      </c>
      <c r="L436" s="31">
        <v>2493</v>
      </c>
      <c r="M436" s="32">
        <v>16.5</v>
      </c>
      <c r="N436" s="33">
        <f t="shared" si="20"/>
        <v>4.1458408144647067E-2</v>
      </c>
      <c r="O436" s="54"/>
      <c r="Q436" s="54"/>
      <c r="S436" s="54"/>
      <c r="T436" s="54"/>
      <c r="U436" s="54"/>
      <c r="V436" s="54"/>
      <c r="W436" s="54"/>
      <c r="X436" s="54"/>
      <c r="Y436" s="54"/>
      <c r="Z436" s="54"/>
      <c r="AA436" s="54"/>
      <c r="AB436" s="54"/>
      <c r="AC436" s="54"/>
      <c r="AD436" s="54"/>
      <c r="AE436" s="54"/>
      <c r="AF436" s="54"/>
      <c r="AG436" s="54"/>
      <c r="AH436" s="54"/>
    </row>
    <row r="437" spans="1:34" x14ac:dyDescent="0.3">
      <c r="A437" s="27" t="s">
        <v>1135</v>
      </c>
      <c r="B437" s="27" t="s">
        <v>128</v>
      </c>
      <c r="C437" s="26" t="s">
        <v>1136</v>
      </c>
      <c r="D437" s="29">
        <v>130.4</v>
      </c>
      <c r="E437" s="29">
        <v>114.733</v>
      </c>
      <c r="F437" s="27">
        <v>2016</v>
      </c>
      <c r="G437" s="29">
        <v>58</v>
      </c>
      <c r="H437" s="28">
        <f t="shared" si="18"/>
        <v>44.478527607361961</v>
      </c>
      <c r="I437" s="30">
        <f t="shared" si="19"/>
        <v>87.985429447852766</v>
      </c>
      <c r="J437" s="31">
        <v>2137</v>
      </c>
      <c r="K437" s="31">
        <v>472</v>
      </c>
      <c r="L437" s="31">
        <v>2751</v>
      </c>
      <c r="M437" s="32">
        <v>22.4</v>
      </c>
      <c r="N437" s="33">
        <f t="shared" si="20"/>
        <v>4.1172404982617108E-2</v>
      </c>
    </row>
    <row r="438" spans="1:34" x14ac:dyDescent="0.3">
      <c r="A438" s="27" t="s">
        <v>1175</v>
      </c>
      <c r="B438" s="27" t="s">
        <v>128</v>
      </c>
      <c r="C438" s="26" t="s">
        <v>1176</v>
      </c>
      <c r="D438" s="29">
        <v>330.6</v>
      </c>
      <c r="E438" s="29">
        <v>189.422</v>
      </c>
      <c r="F438" s="27">
        <v>2016</v>
      </c>
      <c r="G438" s="29">
        <v>140</v>
      </c>
      <c r="H438" s="28">
        <f t="shared" si="18"/>
        <v>42.347247428917122</v>
      </c>
      <c r="I438" s="30">
        <f t="shared" si="19"/>
        <v>57.29643073200242</v>
      </c>
      <c r="J438" s="31">
        <v>1392</v>
      </c>
      <c r="K438" s="31">
        <v>547</v>
      </c>
      <c r="L438" s="31">
        <v>1571</v>
      </c>
      <c r="M438" s="32">
        <v>6.7</v>
      </c>
      <c r="N438" s="33">
        <f t="shared" si="20"/>
        <v>4.1161228974139673E-2</v>
      </c>
      <c r="O438" s="9"/>
      <c r="Q438" s="4"/>
      <c r="S438" s="8"/>
      <c r="T438" s="8"/>
      <c r="U438" s="8"/>
      <c r="V438" s="4"/>
      <c r="W438" s="8"/>
      <c r="X438" s="8"/>
      <c r="Y438" s="8"/>
      <c r="Z438" s="8"/>
      <c r="AA438" s="8"/>
      <c r="AB438" s="4"/>
      <c r="AC438" s="8"/>
      <c r="AD438" s="8"/>
      <c r="AE438" s="8"/>
      <c r="AF438" s="8"/>
      <c r="AG438" s="8"/>
      <c r="AH438" s="4"/>
    </row>
    <row r="439" spans="1:34" x14ac:dyDescent="0.3">
      <c r="A439" s="27" t="s">
        <v>1195</v>
      </c>
      <c r="B439" s="27" t="s">
        <v>128</v>
      </c>
      <c r="C439" s="26" t="s">
        <v>1196</v>
      </c>
      <c r="D439" s="29">
        <v>63.1</v>
      </c>
      <c r="E439" s="29">
        <v>51.616500000000002</v>
      </c>
      <c r="F439" s="27">
        <v>2015</v>
      </c>
      <c r="G439" s="29">
        <v>26</v>
      </c>
      <c r="H439" s="28">
        <f t="shared" si="18"/>
        <v>41.204437400950873</v>
      </c>
      <c r="I439" s="30">
        <f t="shared" si="19"/>
        <v>81.801109350237724</v>
      </c>
      <c r="J439" s="31">
        <v>1989</v>
      </c>
      <c r="K439" s="31">
        <v>475</v>
      </c>
      <c r="L439" s="31">
        <v>2517</v>
      </c>
      <c r="M439" s="32">
        <v>18.100000000000001</v>
      </c>
      <c r="N439" s="33">
        <f t="shared" si="20"/>
        <v>4.1126751810074268E-2</v>
      </c>
    </row>
    <row r="440" spans="1:34" x14ac:dyDescent="0.3">
      <c r="A440" s="34" t="s">
        <v>184</v>
      </c>
      <c r="B440" s="16" t="s">
        <v>15</v>
      </c>
      <c r="C440" s="16" t="s">
        <v>185</v>
      </c>
      <c r="D440" s="35">
        <v>91.6</v>
      </c>
      <c r="E440" s="35">
        <v>83</v>
      </c>
      <c r="F440" s="16">
        <v>2017</v>
      </c>
      <c r="G440" s="36">
        <v>35.46</v>
      </c>
      <c r="H440" s="28">
        <f t="shared" si="18"/>
        <v>38.711790393013104</v>
      </c>
      <c r="I440" s="30">
        <f t="shared" si="19"/>
        <v>90.611353711790386</v>
      </c>
      <c r="J440" s="48">
        <v>2206</v>
      </c>
      <c r="K440" s="30">
        <v>538</v>
      </c>
      <c r="L440" s="30">
        <v>2671</v>
      </c>
      <c r="M440" s="31">
        <v>20.5</v>
      </c>
      <c r="N440" s="33">
        <f t="shared" si="20"/>
        <v>4.1074956351672888E-2</v>
      </c>
      <c r="O440" s="54"/>
      <c r="P440" s="54"/>
      <c r="Q440" s="54"/>
      <c r="S440" s="54"/>
      <c r="T440" s="54"/>
      <c r="U440" s="54"/>
      <c r="V440" s="54"/>
      <c r="W440" s="54"/>
      <c r="X440" s="54"/>
      <c r="Y440" s="54"/>
      <c r="Z440" s="54"/>
      <c r="AA440" s="54"/>
      <c r="AB440" s="54"/>
      <c r="AC440" s="54"/>
      <c r="AD440" s="54"/>
      <c r="AE440" s="54"/>
      <c r="AF440" s="54"/>
      <c r="AG440" s="54"/>
      <c r="AH440" s="54"/>
    </row>
    <row r="441" spans="1:34" x14ac:dyDescent="0.3">
      <c r="A441" s="27" t="s">
        <v>1008</v>
      </c>
      <c r="B441" s="27" t="s">
        <v>128</v>
      </c>
      <c r="C441" s="26" t="s">
        <v>1009</v>
      </c>
      <c r="D441" s="29">
        <v>6.7</v>
      </c>
      <c r="E441" s="29">
        <v>3.9369999999999998</v>
      </c>
      <c r="F441" s="27">
        <v>2017</v>
      </c>
      <c r="G441" s="29">
        <v>3.5</v>
      </c>
      <c r="H441" s="28">
        <f t="shared" si="18"/>
        <v>52.238805970149251</v>
      </c>
      <c r="I441" s="30">
        <f t="shared" si="19"/>
        <v>58.761194029850749</v>
      </c>
      <c r="J441" s="31">
        <v>1432</v>
      </c>
      <c r="K441" s="31">
        <v>570</v>
      </c>
      <c r="L441" s="31">
        <v>1564</v>
      </c>
      <c r="M441" s="32">
        <v>9.1999999999999993</v>
      </c>
      <c r="N441" s="33">
        <f t="shared" si="20"/>
        <v>4.10343533728008E-2</v>
      </c>
    </row>
    <row r="442" spans="1:34" x14ac:dyDescent="0.3">
      <c r="A442" s="27" t="s">
        <v>1133</v>
      </c>
      <c r="B442" s="27" t="s">
        <v>128</v>
      </c>
      <c r="C442" s="26" t="s">
        <v>1134</v>
      </c>
      <c r="D442" s="29">
        <v>94.4</v>
      </c>
      <c r="E442" s="29">
        <v>66.531999999999996</v>
      </c>
      <c r="F442" s="27">
        <v>2016</v>
      </c>
      <c r="G442" s="29">
        <v>42</v>
      </c>
      <c r="H442" s="28">
        <f t="shared" si="18"/>
        <v>44.491525423728817</v>
      </c>
      <c r="I442" s="30">
        <f t="shared" si="19"/>
        <v>70.478813559322035</v>
      </c>
      <c r="J442" s="31">
        <v>1720</v>
      </c>
      <c r="K442" s="31">
        <v>666</v>
      </c>
      <c r="L442" s="31">
        <v>1731</v>
      </c>
      <c r="M442" s="32">
        <v>17.5</v>
      </c>
      <c r="N442" s="33">
        <f t="shared" si="20"/>
        <v>4.0976054394954671E-2</v>
      </c>
    </row>
    <row r="443" spans="1:34" x14ac:dyDescent="0.3">
      <c r="A443" s="42" t="s">
        <v>384</v>
      </c>
      <c r="B443" s="17" t="s">
        <v>11</v>
      </c>
      <c r="C443" s="17" t="s">
        <v>385</v>
      </c>
      <c r="D443" s="43">
        <v>21.399999618530298</v>
      </c>
      <c r="E443" s="43">
        <v>13</v>
      </c>
      <c r="F443" s="17">
        <v>2014</v>
      </c>
      <c r="G443" s="36">
        <v>10</v>
      </c>
      <c r="H443" s="28">
        <f t="shared" si="18"/>
        <v>46.72897279559286</v>
      </c>
      <c r="I443" s="30">
        <f t="shared" si="19"/>
        <v>60.74766463427072</v>
      </c>
      <c r="J443" s="31">
        <v>1483</v>
      </c>
      <c r="K443" s="30">
        <v>725</v>
      </c>
      <c r="L443" s="30">
        <v>1226</v>
      </c>
      <c r="M443" s="41">
        <v>15.3</v>
      </c>
      <c r="N443" s="33">
        <f t="shared" si="20"/>
        <v>4.0962686874086794E-2</v>
      </c>
      <c r="O443" s="9"/>
      <c r="Q443" s="4"/>
      <c r="S443" s="8"/>
      <c r="T443" s="8"/>
      <c r="U443" s="8"/>
      <c r="V443" s="4"/>
      <c r="W443" s="8"/>
      <c r="X443" s="8"/>
      <c r="Y443" s="8"/>
      <c r="Z443" s="8"/>
      <c r="AA443" s="8"/>
      <c r="AB443" s="4"/>
      <c r="AC443" s="8"/>
      <c r="AD443" s="8"/>
      <c r="AE443" s="8"/>
      <c r="AF443" s="8"/>
      <c r="AG443" s="8"/>
      <c r="AH443" s="4"/>
    </row>
    <row r="444" spans="1:34" x14ac:dyDescent="0.3">
      <c r="A444" s="27" t="s">
        <v>1081</v>
      </c>
      <c r="B444" s="27" t="s">
        <v>128</v>
      </c>
      <c r="C444" s="26" t="s">
        <v>1082</v>
      </c>
      <c r="D444" s="29">
        <v>13.8</v>
      </c>
      <c r="E444" s="29">
        <v>9.3729999999999993</v>
      </c>
      <c r="F444" s="27">
        <v>2016</v>
      </c>
      <c r="G444" s="29">
        <v>6.5</v>
      </c>
      <c r="H444" s="28">
        <f t="shared" si="18"/>
        <v>47.10144927536232</v>
      </c>
      <c r="I444" s="30">
        <f t="shared" si="19"/>
        <v>67.920289855072468</v>
      </c>
      <c r="J444" s="31">
        <v>1659</v>
      </c>
      <c r="K444" s="31">
        <v>649</v>
      </c>
      <c r="L444" s="31">
        <v>1691</v>
      </c>
      <c r="M444" s="32">
        <v>15.8</v>
      </c>
      <c r="N444" s="33">
        <f t="shared" si="20"/>
        <v>4.0940500214028008E-2</v>
      </c>
      <c r="O444" s="9"/>
      <c r="P444" s="10"/>
      <c r="Q444" s="4"/>
      <c r="S444" s="8"/>
      <c r="T444" s="8"/>
      <c r="U444" s="8"/>
      <c r="V444" s="4"/>
      <c r="W444" s="8"/>
      <c r="X444" s="8"/>
      <c r="Y444" s="8"/>
      <c r="Z444" s="8"/>
      <c r="AA444" s="8"/>
      <c r="AB444" s="4"/>
      <c r="AC444" s="8"/>
      <c r="AD444" s="8"/>
      <c r="AE444" s="8"/>
      <c r="AF444" s="8"/>
      <c r="AG444" s="8"/>
      <c r="AH444" s="4"/>
    </row>
    <row r="445" spans="1:34" x14ac:dyDescent="0.3">
      <c r="A445" s="27" t="s">
        <v>966</v>
      </c>
      <c r="B445" s="27" t="s">
        <v>128</v>
      </c>
      <c r="C445" s="26" t="s">
        <v>967</v>
      </c>
      <c r="D445" s="29">
        <v>49.1</v>
      </c>
      <c r="E445" s="29">
        <v>39.393999999999998</v>
      </c>
      <c r="F445" s="27">
        <v>2015</v>
      </c>
      <c r="G445" s="29">
        <v>26.5</v>
      </c>
      <c r="H445" s="28">
        <f t="shared" ref="H445:H508" si="21">G445*10^6/(D445*10^4)</f>
        <v>53.971486761710793</v>
      </c>
      <c r="I445" s="30">
        <f t="shared" ref="I445:I508" si="22">E445*10^6/(D445*10^4)</f>
        <v>80.232179226069249</v>
      </c>
      <c r="J445" s="31">
        <v>1961</v>
      </c>
      <c r="K445" s="31">
        <v>488</v>
      </c>
      <c r="L445" s="31">
        <v>2437</v>
      </c>
      <c r="M445" s="32">
        <v>18.899999999999999</v>
      </c>
      <c r="N445" s="33">
        <f t="shared" ref="N445:N508" si="23">I445/J445</f>
        <v>4.0913910875099053E-2</v>
      </c>
    </row>
    <row r="446" spans="1:34" x14ac:dyDescent="0.3">
      <c r="A446" s="27" t="s">
        <v>1221</v>
      </c>
      <c r="B446" s="27" t="s">
        <v>128</v>
      </c>
      <c r="C446" s="26" t="s">
        <v>1222</v>
      </c>
      <c r="D446" s="29">
        <v>16</v>
      </c>
      <c r="E446" s="29">
        <v>14.247999999999999</v>
      </c>
      <c r="F446" s="27">
        <v>2016</v>
      </c>
      <c r="G446" s="29">
        <v>6.3</v>
      </c>
      <c r="H446" s="28">
        <f t="shared" si="21"/>
        <v>39.375</v>
      </c>
      <c r="I446" s="30">
        <f t="shared" si="22"/>
        <v>89.05</v>
      </c>
      <c r="J446" s="31">
        <v>2182</v>
      </c>
      <c r="K446" s="31">
        <v>424</v>
      </c>
      <c r="L446" s="31">
        <v>2950</v>
      </c>
      <c r="M446" s="32">
        <v>16.2</v>
      </c>
      <c r="N446" s="33">
        <f t="shared" si="23"/>
        <v>4.0811182401466542E-2</v>
      </c>
    </row>
    <row r="447" spans="1:34" x14ac:dyDescent="0.3">
      <c r="A447" s="27" t="s">
        <v>1203</v>
      </c>
      <c r="B447" s="27" t="s">
        <v>9</v>
      </c>
      <c r="C447" s="26" t="s">
        <v>1204</v>
      </c>
      <c r="D447" s="29">
        <v>99.3</v>
      </c>
      <c r="E447" s="29">
        <v>79.2</v>
      </c>
      <c r="F447" s="27">
        <v>2015</v>
      </c>
      <c r="G447" s="29">
        <v>40</v>
      </c>
      <c r="H447" s="28">
        <f t="shared" si="21"/>
        <v>40.28197381671702</v>
      </c>
      <c r="I447" s="30">
        <f t="shared" si="22"/>
        <v>79.758308157099691</v>
      </c>
      <c r="J447" s="31">
        <v>1958</v>
      </c>
      <c r="K447" s="31">
        <v>881</v>
      </c>
      <c r="L447" s="31">
        <v>1604</v>
      </c>
      <c r="M447" s="32">
        <v>25.4</v>
      </c>
      <c r="N447" s="33">
        <f t="shared" si="23"/>
        <v>4.0734580264095856E-2</v>
      </c>
      <c r="O447" s="9"/>
      <c r="Q447" s="4"/>
      <c r="S447" s="8"/>
      <c r="T447" s="8"/>
      <c r="U447" s="8"/>
      <c r="V447" s="4"/>
      <c r="W447" s="8"/>
      <c r="X447" s="8"/>
      <c r="Y447" s="8"/>
      <c r="Z447" s="8"/>
      <c r="AA447" s="8"/>
      <c r="AB447" s="4"/>
      <c r="AC447" s="8"/>
      <c r="AD447" s="8"/>
      <c r="AE447" s="8"/>
      <c r="AF447" s="8"/>
      <c r="AG447" s="8"/>
      <c r="AH447" s="4"/>
    </row>
    <row r="448" spans="1:34" ht="28.8" x14ac:dyDescent="0.3">
      <c r="A448" s="34" t="s">
        <v>36</v>
      </c>
      <c r="B448" s="16" t="s">
        <v>31</v>
      </c>
      <c r="C448" s="16" t="s">
        <v>244</v>
      </c>
      <c r="D448" s="35">
        <v>800</v>
      </c>
      <c r="E448" s="35">
        <v>675</v>
      </c>
      <c r="F448" s="16">
        <v>2013</v>
      </c>
      <c r="G448" s="36">
        <v>250</v>
      </c>
      <c r="H448" s="28">
        <f t="shared" si="21"/>
        <v>31.25</v>
      </c>
      <c r="I448" s="30">
        <f t="shared" si="22"/>
        <v>84.375</v>
      </c>
      <c r="J448" s="49">
        <v>2076</v>
      </c>
      <c r="K448" s="30">
        <v>454</v>
      </c>
      <c r="L448" s="30">
        <v>2673</v>
      </c>
      <c r="M448" s="31">
        <v>16.600000000000001</v>
      </c>
      <c r="N448" s="33">
        <f t="shared" si="23"/>
        <v>4.0643063583815031E-2</v>
      </c>
      <c r="O448" s="9"/>
      <c r="P448" s="10"/>
      <c r="Q448" s="4"/>
      <c r="S448" s="8"/>
      <c r="T448" s="8"/>
      <c r="U448" s="8"/>
      <c r="V448" s="4"/>
      <c r="W448" s="8"/>
      <c r="X448" s="8"/>
      <c r="Y448" s="8"/>
      <c r="Z448" s="8"/>
      <c r="AA448" s="8"/>
      <c r="AB448" s="4"/>
      <c r="AC448" s="8"/>
      <c r="AD448" s="8"/>
      <c r="AE448" s="8"/>
      <c r="AF448" s="8"/>
      <c r="AG448" s="8"/>
      <c r="AH448" s="4"/>
    </row>
    <row r="449" spans="1:34" ht="28.8" x14ac:dyDescent="0.3">
      <c r="A449" s="34" t="s">
        <v>39</v>
      </c>
      <c r="B449" s="16" t="s">
        <v>31</v>
      </c>
      <c r="C449" s="16" t="s">
        <v>196</v>
      </c>
      <c r="D449" s="35">
        <v>1620</v>
      </c>
      <c r="E449" s="63">
        <v>1342</v>
      </c>
      <c r="F449" s="16">
        <v>2016</v>
      </c>
      <c r="G449" s="36">
        <v>552</v>
      </c>
      <c r="H449" s="28">
        <f t="shared" si="21"/>
        <v>34.074074074074076</v>
      </c>
      <c r="I449" s="30">
        <f t="shared" si="22"/>
        <v>82.839506172839506</v>
      </c>
      <c r="J449" s="49">
        <v>2046</v>
      </c>
      <c r="K449" s="30">
        <v>498</v>
      </c>
      <c r="L449" s="30">
        <v>2594</v>
      </c>
      <c r="M449" s="31">
        <v>19.5</v>
      </c>
      <c r="N449" s="33">
        <f t="shared" si="23"/>
        <v>4.0488517191026155E-2</v>
      </c>
    </row>
    <row r="450" spans="1:34" x14ac:dyDescent="0.3">
      <c r="A450" s="27" t="s">
        <v>1157</v>
      </c>
      <c r="B450" s="27" t="s">
        <v>0</v>
      </c>
      <c r="C450" s="26" t="s">
        <v>1158</v>
      </c>
      <c r="D450" s="29">
        <v>34.799999999999997</v>
      </c>
      <c r="E450" s="29">
        <v>24.5</v>
      </c>
      <c r="F450" s="27">
        <v>2018</v>
      </c>
      <c r="G450" s="29">
        <v>15</v>
      </c>
      <c r="H450" s="28">
        <f t="shared" si="21"/>
        <v>43.103448275862071</v>
      </c>
      <c r="I450" s="30">
        <f t="shared" si="22"/>
        <v>70.402298850574709</v>
      </c>
      <c r="J450" s="31">
        <v>1739</v>
      </c>
      <c r="K450" s="31">
        <v>556</v>
      </c>
      <c r="L450" s="31">
        <v>2052</v>
      </c>
      <c r="M450" s="32">
        <v>12.2</v>
      </c>
      <c r="N450" s="33">
        <f t="shared" si="23"/>
        <v>4.0484358165942903E-2</v>
      </c>
      <c r="O450" s="54"/>
      <c r="Q450" s="54"/>
      <c r="S450" s="54"/>
      <c r="T450" s="54"/>
      <c r="U450" s="54"/>
      <c r="V450" s="54"/>
      <c r="W450" s="54"/>
      <c r="X450" s="54"/>
      <c r="Y450" s="54"/>
      <c r="Z450" s="54"/>
      <c r="AA450" s="54"/>
      <c r="AB450" s="54"/>
      <c r="AC450" s="54"/>
      <c r="AD450" s="54"/>
      <c r="AE450" s="54"/>
      <c r="AF450" s="54"/>
      <c r="AG450" s="54"/>
      <c r="AH450" s="54"/>
    </row>
    <row r="451" spans="1:34" x14ac:dyDescent="0.3">
      <c r="A451" s="27" t="s">
        <v>1091</v>
      </c>
      <c r="B451" s="27" t="s">
        <v>128</v>
      </c>
      <c r="C451" s="26" t="s">
        <v>1092</v>
      </c>
      <c r="D451" s="29">
        <v>15</v>
      </c>
      <c r="E451" s="29">
        <v>10.85</v>
      </c>
      <c r="F451" s="27">
        <v>2016</v>
      </c>
      <c r="G451" s="29">
        <v>7.0132000000000003</v>
      </c>
      <c r="H451" s="28">
        <f t="shared" si="21"/>
        <v>46.754666666666665</v>
      </c>
      <c r="I451" s="30">
        <f t="shared" si="22"/>
        <v>72.333333333333329</v>
      </c>
      <c r="J451" s="31">
        <v>1787</v>
      </c>
      <c r="K451" s="31">
        <v>633</v>
      </c>
      <c r="L451" s="31">
        <v>1865</v>
      </c>
      <c r="M451" s="32">
        <v>19</v>
      </c>
      <c r="N451" s="33">
        <f t="shared" si="23"/>
        <v>4.0477522850214512E-2</v>
      </c>
      <c r="O451" s="9"/>
      <c r="Q451" s="4"/>
      <c r="S451" s="8"/>
      <c r="T451" s="8"/>
      <c r="U451" s="8"/>
      <c r="V451" s="4"/>
      <c r="W451" s="8"/>
      <c r="X451" s="8"/>
      <c r="Y451" s="8"/>
      <c r="Z451" s="8"/>
      <c r="AA451" s="8"/>
      <c r="AB451" s="4"/>
      <c r="AC451" s="8"/>
      <c r="AD451" s="8"/>
      <c r="AE451" s="8"/>
      <c r="AF451" s="8"/>
      <c r="AG451" s="8"/>
      <c r="AH451" s="4"/>
    </row>
    <row r="452" spans="1:34" x14ac:dyDescent="0.3">
      <c r="A452" s="34" t="s">
        <v>186</v>
      </c>
      <c r="B452" s="16" t="s">
        <v>20</v>
      </c>
      <c r="C452" s="16" t="s">
        <v>187</v>
      </c>
      <c r="D452" s="35">
        <v>17.7</v>
      </c>
      <c r="E452" s="35">
        <v>13.336539999999999</v>
      </c>
      <c r="F452" s="16">
        <v>2015</v>
      </c>
      <c r="G452" s="36">
        <v>10</v>
      </c>
      <c r="H452" s="28">
        <f t="shared" si="21"/>
        <v>56.497175141242941</v>
      </c>
      <c r="I452" s="30">
        <f t="shared" si="22"/>
        <v>75.347683615819207</v>
      </c>
      <c r="J452" s="48">
        <v>1865</v>
      </c>
      <c r="K452" s="30">
        <v>878</v>
      </c>
      <c r="L452" s="30">
        <v>1366</v>
      </c>
      <c r="M452" s="31">
        <v>26.1</v>
      </c>
      <c r="N452" s="33">
        <f t="shared" si="23"/>
        <v>4.0400902743066597E-2</v>
      </c>
    </row>
    <row r="453" spans="1:34" x14ac:dyDescent="0.3">
      <c r="A453" s="42" t="s">
        <v>352</v>
      </c>
      <c r="B453" s="17" t="s">
        <v>6</v>
      </c>
      <c r="C453" s="17" t="s">
        <v>353</v>
      </c>
      <c r="D453" s="43">
        <v>20.200000762939499</v>
      </c>
      <c r="E453" s="43">
        <v>12.641796112060501</v>
      </c>
      <c r="F453" s="17">
        <v>2014</v>
      </c>
      <c r="G453" s="36">
        <v>7.6587100028991699</v>
      </c>
      <c r="H453" s="28">
        <f t="shared" si="21"/>
        <v>37.914404522946541</v>
      </c>
      <c r="I453" s="30">
        <f t="shared" si="22"/>
        <v>62.583146705885909</v>
      </c>
      <c r="J453" s="31">
        <v>1550</v>
      </c>
      <c r="K453" s="30">
        <v>573</v>
      </c>
      <c r="L453" s="30">
        <v>1755</v>
      </c>
      <c r="M453" s="41">
        <v>13.2</v>
      </c>
      <c r="N453" s="33">
        <f t="shared" si="23"/>
        <v>4.0376223681216718E-2</v>
      </c>
    </row>
    <row r="454" spans="1:34" x14ac:dyDescent="0.3">
      <c r="A454" s="27" t="s">
        <v>1231</v>
      </c>
      <c r="B454" s="27" t="s">
        <v>128</v>
      </c>
      <c r="C454" s="26" t="s">
        <v>1232</v>
      </c>
      <c r="D454" s="29">
        <v>336.6</v>
      </c>
      <c r="E454" s="29">
        <v>232.97800000000001</v>
      </c>
      <c r="F454" s="27">
        <v>2016</v>
      </c>
      <c r="G454" s="29">
        <v>131</v>
      </c>
      <c r="H454" s="28">
        <f t="shared" si="21"/>
        <v>38.918597742127155</v>
      </c>
      <c r="I454" s="30">
        <f t="shared" si="22"/>
        <v>69.215092097445037</v>
      </c>
      <c r="J454" s="31">
        <v>1716</v>
      </c>
      <c r="K454" s="31">
        <v>667</v>
      </c>
      <c r="L454" s="31">
        <v>1723</v>
      </c>
      <c r="M454" s="32">
        <v>17.600000000000001</v>
      </c>
      <c r="N454" s="33">
        <f t="shared" si="23"/>
        <v>4.0335135254921349E-2</v>
      </c>
    </row>
    <row r="455" spans="1:34" x14ac:dyDescent="0.3">
      <c r="A455" s="27" t="s">
        <v>1119</v>
      </c>
      <c r="B455" s="27" t="s">
        <v>9</v>
      </c>
      <c r="C455" s="26" t="s">
        <v>1120</v>
      </c>
      <c r="D455" s="29">
        <v>11.1</v>
      </c>
      <c r="E455" s="29">
        <v>8.3219999999999992</v>
      </c>
      <c r="F455" s="27">
        <v>2017</v>
      </c>
      <c r="G455" s="29">
        <v>5</v>
      </c>
      <c r="H455" s="28">
        <f t="shared" si="21"/>
        <v>45.045045045045043</v>
      </c>
      <c r="I455" s="30">
        <f t="shared" si="22"/>
        <v>74.972972972972968</v>
      </c>
      <c r="J455" s="31">
        <v>1861</v>
      </c>
      <c r="K455" s="31">
        <v>923</v>
      </c>
      <c r="L455" s="31">
        <v>1367</v>
      </c>
      <c r="M455" s="32">
        <v>25.7</v>
      </c>
      <c r="N455" s="33">
        <f t="shared" si="23"/>
        <v>4.028639063566522E-2</v>
      </c>
    </row>
    <row r="456" spans="1:34" x14ac:dyDescent="0.3">
      <c r="A456" s="34" t="s">
        <v>188</v>
      </c>
      <c r="B456" s="16" t="s">
        <v>7</v>
      </c>
      <c r="C456" s="16" t="s">
        <v>189</v>
      </c>
      <c r="D456" s="35">
        <v>23.4</v>
      </c>
      <c r="E456" s="35">
        <v>10</v>
      </c>
      <c r="F456" s="16">
        <v>2015</v>
      </c>
      <c r="G456" s="36">
        <v>10</v>
      </c>
      <c r="H456" s="28">
        <f t="shared" si="21"/>
        <v>42.735042735042732</v>
      </c>
      <c r="I456" s="30">
        <f t="shared" si="22"/>
        <v>42.735042735042732</v>
      </c>
      <c r="J456" s="48">
        <v>1062</v>
      </c>
      <c r="K456" s="30">
        <v>560</v>
      </c>
      <c r="L456" s="30">
        <v>959</v>
      </c>
      <c r="M456" s="31">
        <v>9.6</v>
      </c>
      <c r="N456" s="33">
        <f t="shared" si="23"/>
        <v>4.0240153234503515E-2</v>
      </c>
    </row>
    <row r="457" spans="1:34" x14ac:dyDescent="0.3">
      <c r="A457" s="42" t="s">
        <v>483</v>
      </c>
      <c r="B457" s="17" t="s">
        <v>11</v>
      </c>
      <c r="C457" s="17" t="s">
        <v>484</v>
      </c>
      <c r="D457" s="43">
        <v>47.799999237060497</v>
      </c>
      <c r="E457" s="43">
        <v>24</v>
      </c>
      <c r="F457" s="17">
        <v>2015</v>
      </c>
      <c r="G457" s="36">
        <v>21.700000762939499</v>
      </c>
      <c r="H457" s="28">
        <f t="shared" si="21"/>
        <v>45.397491860449577</v>
      </c>
      <c r="I457" s="30">
        <f t="shared" si="22"/>
        <v>50.209205822313528</v>
      </c>
      <c r="J457" s="31">
        <v>1251</v>
      </c>
      <c r="K457" s="30">
        <v>640</v>
      </c>
      <c r="L457" s="30">
        <v>1162</v>
      </c>
      <c r="M457" s="41">
        <v>6.7</v>
      </c>
      <c r="N457" s="33">
        <f t="shared" si="23"/>
        <v>4.0135256452688672E-2</v>
      </c>
    </row>
    <row r="458" spans="1:34" x14ac:dyDescent="0.3">
      <c r="A458" s="27" t="s">
        <v>1127</v>
      </c>
      <c r="B458" s="27" t="s">
        <v>19</v>
      </c>
      <c r="C458" s="26" t="s">
        <v>1128</v>
      </c>
      <c r="D458" s="29">
        <v>147.4</v>
      </c>
      <c r="E458" s="29">
        <v>122</v>
      </c>
      <c r="F458" s="27">
        <v>2016</v>
      </c>
      <c r="G458" s="29">
        <v>66</v>
      </c>
      <c r="H458" s="28">
        <f t="shared" si="21"/>
        <v>44.776119402985074</v>
      </c>
      <c r="I458" s="30">
        <f t="shared" si="22"/>
        <v>82.767978290366344</v>
      </c>
      <c r="J458" s="31">
        <v>2065</v>
      </c>
      <c r="K458" s="31">
        <v>653</v>
      </c>
      <c r="L458" s="31">
        <v>2194</v>
      </c>
      <c r="M458" s="32">
        <v>21.2</v>
      </c>
      <c r="N458" s="33">
        <f t="shared" si="23"/>
        <v>4.0081345419063608E-2</v>
      </c>
    </row>
    <row r="459" spans="1:34" x14ac:dyDescent="0.3">
      <c r="A459" s="34" t="s">
        <v>190</v>
      </c>
      <c r="B459" s="16" t="s">
        <v>9</v>
      </c>
      <c r="C459" s="16" t="s">
        <v>191</v>
      </c>
      <c r="D459" s="35">
        <v>19.600000000000001</v>
      </c>
      <c r="E459" s="35">
        <v>16</v>
      </c>
      <c r="F459" s="16">
        <v>2014</v>
      </c>
      <c r="G459" s="36">
        <v>10</v>
      </c>
      <c r="H459" s="28">
        <f t="shared" si="21"/>
        <v>51.020408163265309</v>
      </c>
      <c r="I459" s="30">
        <f t="shared" si="22"/>
        <v>81.632653061224488</v>
      </c>
      <c r="J459" s="48">
        <v>2037</v>
      </c>
      <c r="K459" s="30">
        <v>964</v>
      </c>
      <c r="L459" s="30">
        <v>1439</v>
      </c>
      <c r="M459" s="31">
        <v>27.7</v>
      </c>
      <c r="N459" s="33">
        <f t="shared" si="23"/>
        <v>4.0074940138058165E-2</v>
      </c>
    </row>
    <row r="460" spans="1:34" x14ac:dyDescent="0.3">
      <c r="A460" s="27" t="s">
        <v>268</v>
      </c>
      <c r="B460" s="27" t="s">
        <v>128</v>
      </c>
      <c r="C460" s="26" t="s">
        <v>269</v>
      </c>
      <c r="D460" s="29">
        <v>27.4</v>
      </c>
      <c r="E460" s="29">
        <v>22</v>
      </c>
      <c r="F460" s="27">
        <v>2017</v>
      </c>
      <c r="G460" s="29">
        <v>10</v>
      </c>
      <c r="H460" s="28">
        <f t="shared" si="21"/>
        <v>36.496350364963504</v>
      </c>
      <c r="I460" s="30">
        <f t="shared" si="22"/>
        <v>80.291970802919707</v>
      </c>
      <c r="J460" s="31">
        <v>2004</v>
      </c>
      <c r="K460" s="31">
        <v>481</v>
      </c>
      <c r="L460" s="31">
        <v>2519</v>
      </c>
      <c r="M460" s="32">
        <v>19.3</v>
      </c>
      <c r="N460" s="33">
        <f t="shared" si="23"/>
        <v>4.0065853694071708E-2</v>
      </c>
    </row>
    <row r="461" spans="1:34" x14ac:dyDescent="0.3">
      <c r="A461" s="27" t="s">
        <v>1095</v>
      </c>
      <c r="B461" s="27" t="s">
        <v>128</v>
      </c>
      <c r="C461" s="26" t="s">
        <v>1096</v>
      </c>
      <c r="D461" s="29">
        <v>7.3</v>
      </c>
      <c r="E461" s="29">
        <v>5.3550000000000004</v>
      </c>
      <c r="F461" s="27">
        <v>2015</v>
      </c>
      <c r="G461" s="29">
        <v>3.4</v>
      </c>
      <c r="H461" s="28">
        <f t="shared" si="21"/>
        <v>46.575342465753423</v>
      </c>
      <c r="I461" s="30">
        <f t="shared" si="22"/>
        <v>73.356164383561648</v>
      </c>
      <c r="J461" s="31">
        <v>1832</v>
      </c>
      <c r="K461" s="31">
        <v>513</v>
      </c>
      <c r="L461" s="31">
        <v>2275</v>
      </c>
      <c r="M461" s="32">
        <v>8.8000000000000007</v>
      </c>
      <c r="N461" s="33">
        <f t="shared" si="23"/>
        <v>4.0041574445175573E-2</v>
      </c>
    </row>
    <row r="462" spans="1:34" x14ac:dyDescent="0.3">
      <c r="A462" s="27" t="s">
        <v>1083</v>
      </c>
      <c r="B462" s="27" t="s">
        <v>128</v>
      </c>
      <c r="C462" s="26" t="s">
        <v>1084</v>
      </c>
      <c r="D462" s="29">
        <v>23.8</v>
      </c>
      <c r="E462" s="29">
        <v>14.264670000000001</v>
      </c>
      <c r="F462" s="27">
        <v>2014</v>
      </c>
      <c r="G462" s="29">
        <v>11.202999999999999</v>
      </c>
      <c r="H462" s="28">
        <f t="shared" si="21"/>
        <v>47.071428571428569</v>
      </c>
      <c r="I462" s="30">
        <f t="shared" si="22"/>
        <v>59.935588235294119</v>
      </c>
      <c r="J462" s="31">
        <v>1497</v>
      </c>
      <c r="K462" s="31">
        <v>622</v>
      </c>
      <c r="L462" s="32">
        <v>1499</v>
      </c>
      <c r="M462" s="32">
        <v>11.3</v>
      </c>
      <c r="N462" s="33">
        <f t="shared" si="23"/>
        <v>4.0037133089708833E-2</v>
      </c>
    </row>
    <row r="463" spans="1:34" x14ac:dyDescent="0.3">
      <c r="A463" s="27" t="s">
        <v>1034</v>
      </c>
      <c r="B463" s="27" t="s">
        <v>128</v>
      </c>
      <c r="C463" s="26" t="s">
        <v>1035</v>
      </c>
      <c r="D463" s="29">
        <v>52.4</v>
      </c>
      <c r="E463" s="29">
        <v>45.399000000000001</v>
      </c>
      <c r="F463" s="27">
        <v>2016</v>
      </c>
      <c r="G463" s="29">
        <v>26.6</v>
      </c>
      <c r="H463" s="28">
        <f t="shared" si="21"/>
        <v>50.763358778625957</v>
      </c>
      <c r="I463" s="30">
        <f t="shared" si="22"/>
        <v>86.639312977099237</v>
      </c>
      <c r="J463" s="31">
        <v>2168</v>
      </c>
      <c r="K463" s="31">
        <v>485</v>
      </c>
      <c r="L463" s="31">
        <v>2761</v>
      </c>
      <c r="M463" s="32">
        <v>24.1</v>
      </c>
      <c r="N463" s="33">
        <f t="shared" si="23"/>
        <v>3.9962782738514412E-2</v>
      </c>
    </row>
    <row r="464" spans="1:34" x14ac:dyDescent="0.3">
      <c r="A464" s="27" t="s">
        <v>1043</v>
      </c>
      <c r="B464" s="27" t="s">
        <v>128</v>
      </c>
      <c r="C464" s="26" t="s">
        <v>1044</v>
      </c>
      <c r="D464" s="29">
        <v>58.9</v>
      </c>
      <c r="E464" s="29">
        <v>38.091500000000003</v>
      </c>
      <c r="F464" s="27">
        <v>2016</v>
      </c>
      <c r="G464" s="29">
        <v>29.5</v>
      </c>
      <c r="H464" s="28">
        <f t="shared" si="21"/>
        <v>50.084889643463498</v>
      </c>
      <c r="I464" s="30">
        <f t="shared" si="22"/>
        <v>64.671477079796261</v>
      </c>
      <c r="J464" s="31">
        <v>1621</v>
      </c>
      <c r="K464" s="31">
        <v>640</v>
      </c>
      <c r="L464" s="31">
        <v>1663</v>
      </c>
      <c r="M464" s="32">
        <v>15.7</v>
      </c>
      <c r="N464" s="33">
        <f t="shared" si="23"/>
        <v>3.9896037680318484E-2</v>
      </c>
    </row>
    <row r="465" spans="1:14" x14ac:dyDescent="0.3">
      <c r="A465" s="27" t="s">
        <v>1004</v>
      </c>
      <c r="B465" s="27" t="s">
        <v>128</v>
      </c>
      <c r="C465" s="26" t="s">
        <v>1005</v>
      </c>
      <c r="D465" s="29">
        <v>12.4</v>
      </c>
      <c r="E465" s="29">
        <v>8.0039999999999996</v>
      </c>
      <c r="F465" s="27">
        <v>2016</v>
      </c>
      <c r="G465" s="29">
        <v>6.5</v>
      </c>
      <c r="H465" s="28">
        <f t="shared" si="21"/>
        <v>52.41935483870968</v>
      </c>
      <c r="I465" s="30">
        <f t="shared" si="22"/>
        <v>64.548387096774192</v>
      </c>
      <c r="J465" s="31">
        <v>1620</v>
      </c>
      <c r="K465" s="31">
        <v>636</v>
      </c>
      <c r="L465" s="31">
        <v>1666</v>
      </c>
      <c r="M465" s="32">
        <v>14.7</v>
      </c>
      <c r="N465" s="33">
        <f t="shared" si="23"/>
        <v>3.9844683393070492E-2</v>
      </c>
    </row>
    <row r="466" spans="1:14" x14ac:dyDescent="0.3">
      <c r="A466" s="27" t="s">
        <v>1177</v>
      </c>
      <c r="B466" s="27" t="s">
        <v>128</v>
      </c>
      <c r="C466" s="26" t="s">
        <v>1178</v>
      </c>
      <c r="D466" s="29">
        <v>31</v>
      </c>
      <c r="E466" s="29">
        <v>20.302</v>
      </c>
      <c r="F466" s="27">
        <v>2016</v>
      </c>
      <c r="G466" s="29">
        <v>13.090999999999999</v>
      </c>
      <c r="H466" s="28">
        <f t="shared" si="21"/>
        <v>42.229032258064514</v>
      </c>
      <c r="I466" s="30">
        <f t="shared" si="22"/>
        <v>65.490322580645156</v>
      </c>
      <c r="J466" s="31">
        <v>1648</v>
      </c>
      <c r="K466" s="31">
        <v>550</v>
      </c>
      <c r="L466" s="31">
        <v>1910</v>
      </c>
      <c r="M466" s="32">
        <v>11.8</v>
      </c>
      <c r="N466" s="33">
        <f t="shared" si="23"/>
        <v>3.9739273410585654E-2</v>
      </c>
    </row>
    <row r="467" spans="1:14" x14ac:dyDescent="0.3">
      <c r="A467" s="27" t="s">
        <v>1151</v>
      </c>
      <c r="B467" s="27" t="s">
        <v>128</v>
      </c>
      <c r="C467" s="26" t="s">
        <v>1152</v>
      </c>
      <c r="D467" s="29">
        <v>14.9</v>
      </c>
      <c r="E467" s="29">
        <v>9.7885000000000009</v>
      </c>
      <c r="F467" s="27">
        <v>2017</v>
      </c>
      <c r="G467" s="29">
        <v>6.5</v>
      </c>
      <c r="H467" s="28">
        <f t="shared" si="21"/>
        <v>43.624161073825505</v>
      </c>
      <c r="I467" s="30">
        <f t="shared" si="22"/>
        <v>65.694630872483216</v>
      </c>
      <c r="J467" s="31">
        <v>1656</v>
      </c>
      <c r="K467" s="31">
        <v>656</v>
      </c>
      <c r="L467" s="31">
        <v>1671</v>
      </c>
      <c r="M467" s="32">
        <v>15.8</v>
      </c>
      <c r="N467" s="33">
        <f t="shared" si="23"/>
        <v>3.9670670816716921E-2</v>
      </c>
    </row>
    <row r="468" spans="1:14" x14ac:dyDescent="0.3">
      <c r="A468" s="27" t="s">
        <v>936</v>
      </c>
      <c r="B468" s="27" t="s">
        <v>128</v>
      </c>
      <c r="C468" s="26" t="s">
        <v>937</v>
      </c>
      <c r="D468" s="29">
        <v>7</v>
      </c>
      <c r="E468" s="29">
        <v>4.68</v>
      </c>
      <c r="F468" s="27">
        <v>2016</v>
      </c>
      <c r="G468" s="29">
        <v>3.9</v>
      </c>
      <c r="H468" s="28">
        <f t="shared" si="21"/>
        <v>55.714285714285715</v>
      </c>
      <c r="I468" s="30">
        <f t="shared" si="22"/>
        <v>66.857142857142861</v>
      </c>
      <c r="J468" s="31">
        <v>1686</v>
      </c>
      <c r="K468" s="31">
        <v>650</v>
      </c>
      <c r="L468" s="31">
        <v>1698</v>
      </c>
      <c r="M468" s="32">
        <v>16.600000000000001</v>
      </c>
      <c r="N468" s="33">
        <f t="shared" si="23"/>
        <v>3.9654295882053894E-2</v>
      </c>
    </row>
    <row r="469" spans="1:14" x14ac:dyDescent="0.3">
      <c r="A469" s="27" t="s">
        <v>1145</v>
      </c>
      <c r="B469" s="27" t="s">
        <v>128</v>
      </c>
      <c r="C469" s="26" t="s">
        <v>1146</v>
      </c>
      <c r="D469" s="29">
        <v>16</v>
      </c>
      <c r="E469" s="29">
        <v>9.6430000000000007</v>
      </c>
      <c r="F469" s="27">
        <v>2016</v>
      </c>
      <c r="G469" s="29">
        <v>7.0541</v>
      </c>
      <c r="H469" s="28">
        <f t="shared" si="21"/>
        <v>44.088124999999998</v>
      </c>
      <c r="I469" s="30">
        <f t="shared" si="22"/>
        <v>60.268749999999997</v>
      </c>
      <c r="J469" s="31">
        <v>1521</v>
      </c>
      <c r="K469" s="31">
        <v>620</v>
      </c>
      <c r="L469" s="32">
        <v>1526</v>
      </c>
      <c r="M469" s="32">
        <v>12.3</v>
      </c>
      <c r="N469" s="33">
        <f t="shared" si="23"/>
        <v>3.9624424720578567E-2</v>
      </c>
    </row>
    <row r="470" spans="1:14" x14ac:dyDescent="0.3">
      <c r="A470" s="27" t="s">
        <v>1089</v>
      </c>
      <c r="B470" s="27" t="s">
        <v>128</v>
      </c>
      <c r="C470" s="26" t="s">
        <v>1090</v>
      </c>
      <c r="D470" s="29">
        <v>51.3</v>
      </c>
      <c r="E470" s="29">
        <v>41.996000000000002</v>
      </c>
      <c r="F470" s="27">
        <v>2015</v>
      </c>
      <c r="G470" s="29">
        <v>24</v>
      </c>
      <c r="H470" s="28">
        <f t="shared" si="21"/>
        <v>46.783625730994153</v>
      </c>
      <c r="I470" s="30">
        <f t="shared" si="22"/>
        <v>81.863547758284597</v>
      </c>
      <c r="J470" s="31">
        <v>2066</v>
      </c>
      <c r="K470" s="31">
        <v>492</v>
      </c>
      <c r="L470" s="31">
        <v>2564</v>
      </c>
      <c r="M470" s="32">
        <v>17.3</v>
      </c>
      <c r="N470" s="33">
        <f t="shared" si="23"/>
        <v>3.9624176068869602E-2</v>
      </c>
    </row>
    <row r="471" spans="1:14" x14ac:dyDescent="0.3">
      <c r="A471" s="42" t="s">
        <v>332</v>
      </c>
      <c r="B471" s="17" t="s">
        <v>4</v>
      </c>
      <c r="C471" s="17" t="s">
        <v>333</v>
      </c>
      <c r="D471" s="43">
        <v>49.099998474121101</v>
      </c>
      <c r="E471" s="43">
        <v>31.513399124145501</v>
      </c>
      <c r="F471" s="17">
        <v>2014</v>
      </c>
      <c r="G471" s="36">
        <v>20.899999618530298</v>
      </c>
      <c r="H471" s="28">
        <f t="shared" si="21"/>
        <v>42.56619199193247</v>
      </c>
      <c r="I471" s="30">
        <f t="shared" si="22"/>
        <v>64.182077603841705</v>
      </c>
      <c r="J471" s="31">
        <v>1624</v>
      </c>
      <c r="K471" s="30">
        <v>673</v>
      </c>
      <c r="L471" s="30">
        <v>1751</v>
      </c>
      <c r="M471" s="41">
        <v>4.7</v>
      </c>
      <c r="N471" s="33">
        <f t="shared" si="23"/>
        <v>3.9520983746207945E-2</v>
      </c>
    </row>
    <row r="472" spans="1:14" x14ac:dyDescent="0.3">
      <c r="A472" s="27" t="s">
        <v>1115</v>
      </c>
      <c r="B472" s="27" t="s">
        <v>128</v>
      </c>
      <c r="C472" s="26" t="s">
        <v>1116</v>
      </c>
      <c r="D472" s="29">
        <v>57.6</v>
      </c>
      <c r="E472" s="29">
        <v>46.110999999999997</v>
      </c>
      <c r="F472" s="27">
        <v>2014</v>
      </c>
      <c r="G472" s="29">
        <v>26</v>
      </c>
      <c r="H472" s="28">
        <f t="shared" si="21"/>
        <v>45.138888888888886</v>
      </c>
      <c r="I472" s="30">
        <f t="shared" si="22"/>
        <v>80.053819444444443</v>
      </c>
      <c r="J472" s="31">
        <v>2027</v>
      </c>
      <c r="K472" s="31">
        <v>489</v>
      </c>
      <c r="L472" s="31">
        <v>2510</v>
      </c>
      <c r="M472" s="32">
        <v>19.100000000000001</v>
      </c>
      <c r="N472" s="33">
        <f t="shared" si="23"/>
        <v>3.9493744175848271E-2</v>
      </c>
    </row>
    <row r="473" spans="1:14" x14ac:dyDescent="0.3">
      <c r="A473" s="27" t="s">
        <v>791</v>
      </c>
      <c r="B473" s="27" t="s">
        <v>128</v>
      </c>
      <c r="C473" s="26" t="s">
        <v>792</v>
      </c>
      <c r="D473" s="29">
        <v>9.4</v>
      </c>
      <c r="E473" s="29">
        <v>6.1736659999999999</v>
      </c>
      <c r="F473" s="27">
        <v>2017</v>
      </c>
      <c r="G473" s="29">
        <v>6.1028000000000002</v>
      </c>
      <c r="H473" s="28">
        <f t="shared" si="21"/>
        <v>64.923404255319156</v>
      </c>
      <c r="I473" s="30">
        <f t="shared" si="22"/>
        <v>65.677297872340432</v>
      </c>
      <c r="J473" s="31">
        <v>1670</v>
      </c>
      <c r="K473" s="31">
        <v>655</v>
      </c>
      <c r="L473" s="31">
        <v>1695</v>
      </c>
      <c r="M473" s="32">
        <v>16</v>
      </c>
      <c r="N473" s="33">
        <f t="shared" si="23"/>
        <v>3.9327723276850558E-2</v>
      </c>
    </row>
    <row r="474" spans="1:14" x14ac:dyDescent="0.3">
      <c r="A474" s="27" t="s">
        <v>1199</v>
      </c>
      <c r="B474" s="27" t="s">
        <v>128</v>
      </c>
      <c r="C474" s="26" t="s">
        <v>1200</v>
      </c>
      <c r="D474" s="29">
        <v>16.7</v>
      </c>
      <c r="E474" s="29">
        <v>11.225</v>
      </c>
      <c r="F474" s="27">
        <v>2015</v>
      </c>
      <c r="G474" s="29">
        <v>6.8</v>
      </c>
      <c r="H474" s="28">
        <f t="shared" si="21"/>
        <v>40.718562874251496</v>
      </c>
      <c r="I474" s="30">
        <f t="shared" si="22"/>
        <v>67.215568862275447</v>
      </c>
      <c r="J474" s="31">
        <v>1716</v>
      </c>
      <c r="K474" s="31">
        <v>482</v>
      </c>
      <c r="L474" s="31">
        <v>2165</v>
      </c>
      <c r="M474" s="32">
        <v>8.5</v>
      </c>
      <c r="N474" s="33">
        <f t="shared" si="23"/>
        <v>3.9169911924402938E-2</v>
      </c>
    </row>
    <row r="475" spans="1:14" x14ac:dyDescent="0.3">
      <c r="A475" s="34" t="s">
        <v>192</v>
      </c>
      <c r="B475" s="16" t="s">
        <v>9</v>
      </c>
      <c r="C475" s="16" t="s">
        <v>193</v>
      </c>
      <c r="D475" s="35">
        <v>8.6</v>
      </c>
      <c r="E475" s="35">
        <v>6</v>
      </c>
      <c r="F475" s="16">
        <v>2014</v>
      </c>
      <c r="G475" s="36">
        <v>4.2</v>
      </c>
      <c r="H475" s="28">
        <f t="shared" si="21"/>
        <v>48.837209302325583</v>
      </c>
      <c r="I475" s="30">
        <f t="shared" si="22"/>
        <v>69.767441860465112</v>
      </c>
      <c r="J475" s="48">
        <v>1782</v>
      </c>
      <c r="K475" s="30">
        <v>924</v>
      </c>
      <c r="L475" s="30">
        <v>1284</v>
      </c>
      <c r="M475" s="31">
        <v>25.7</v>
      </c>
      <c r="N475" s="33">
        <f t="shared" si="23"/>
        <v>3.9151201941899617E-2</v>
      </c>
    </row>
    <row r="476" spans="1:14" x14ac:dyDescent="0.3">
      <c r="A476" s="34" t="s">
        <v>194</v>
      </c>
      <c r="B476" s="16" t="s">
        <v>9</v>
      </c>
      <c r="C476" s="16" t="s">
        <v>195</v>
      </c>
      <c r="D476" s="35">
        <v>206.7</v>
      </c>
      <c r="E476" s="35">
        <v>160</v>
      </c>
      <c r="F476" s="16">
        <v>2017</v>
      </c>
      <c r="G476" s="36">
        <v>125</v>
      </c>
      <c r="H476" s="28">
        <f t="shared" si="21"/>
        <v>60.474117077890661</v>
      </c>
      <c r="I476" s="30">
        <f t="shared" si="22"/>
        <v>77.406869859700052</v>
      </c>
      <c r="J476" s="48">
        <v>1978</v>
      </c>
      <c r="K476" s="30">
        <v>926</v>
      </c>
      <c r="L476" s="30">
        <v>1460</v>
      </c>
      <c r="M476" s="31">
        <v>26.3</v>
      </c>
      <c r="N476" s="33">
        <f t="shared" si="23"/>
        <v>3.9133907916936328E-2</v>
      </c>
    </row>
    <row r="477" spans="1:14" x14ac:dyDescent="0.3">
      <c r="A477" s="27" t="s">
        <v>1169</v>
      </c>
      <c r="B477" s="27" t="s">
        <v>128</v>
      </c>
      <c r="C477" s="26" t="s">
        <v>1170</v>
      </c>
      <c r="D477" s="29">
        <v>14.1</v>
      </c>
      <c r="E477" s="29">
        <v>12</v>
      </c>
      <c r="F477" s="27">
        <v>2014</v>
      </c>
      <c r="G477" s="29">
        <v>6</v>
      </c>
      <c r="H477" s="28">
        <f t="shared" si="21"/>
        <v>42.553191489361701</v>
      </c>
      <c r="I477" s="30">
        <f t="shared" si="22"/>
        <v>85.106382978723403</v>
      </c>
      <c r="J477" s="31">
        <v>2185</v>
      </c>
      <c r="K477" s="31">
        <v>423</v>
      </c>
      <c r="L477" s="31">
        <v>2960</v>
      </c>
      <c r="M477" s="32">
        <v>16.399999999999999</v>
      </c>
      <c r="N477" s="33">
        <f t="shared" si="23"/>
        <v>3.895028969277959E-2</v>
      </c>
    </row>
    <row r="478" spans="1:14" x14ac:dyDescent="0.3">
      <c r="A478" s="42" t="s">
        <v>362</v>
      </c>
      <c r="B478" s="17" t="s">
        <v>128</v>
      </c>
      <c r="C478" s="17" t="s">
        <v>363</v>
      </c>
      <c r="D478" s="43">
        <v>25.899999618530298</v>
      </c>
      <c r="E478" s="43">
        <v>15.199999809265099</v>
      </c>
      <c r="F478" s="17">
        <v>2014</v>
      </c>
      <c r="G478" s="36">
        <v>10</v>
      </c>
      <c r="H478" s="28">
        <f t="shared" si="21"/>
        <v>38.610039178708881</v>
      </c>
      <c r="I478" s="30">
        <f t="shared" si="22"/>
        <v>58.687258815209304</v>
      </c>
      <c r="J478" s="31">
        <v>1512</v>
      </c>
      <c r="K478" s="30">
        <v>619</v>
      </c>
      <c r="L478" s="30">
        <v>1526</v>
      </c>
      <c r="M478" s="41">
        <v>11.3</v>
      </c>
      <c r="N478" s="33">
        <f t="shared" si="23"/>
        <v>3.8814324613233669E-2</v>
      </c>
    </row>
    <row r="479" spans="1:14" x14ac:dyDescent="0.3">
      <c r="A479" s="27" t="s">
        <v>1273</v>
      </c>
      <c r="B479" s="27" t="s">
        <v>128</v>
      </c>
      <c r="C479" s="26" t="s">
        <v>1274</v>
      </c>
      <c r="D479" s="29">
        <v>332.3</v>
      </c>
      <c r="E479" s="29">
        <v>229.113</v>
      </c>
      <c r="F479" s="27">
        <v>2016</v>
      </c>
      <c r="G479" s="29">
        <v>118</v>
      </c>
      <c r="H479" s="28">
        <f t="shared" si="21"/>
        <v>35.510081251880834</v>
      </c>
      <c r="I479" s="30">
        <f t="shared" si="22"/>
        <v>68.947637676798081</v>
      </c>
      <c r="J479" s="31">
        <v>1784</v>
      </c>
      <c r="K479" s="31">
        <v>679</v>
      </c>
      <c r="L479" s="31">
        <v>1719</v>
      </c>
      <c r="M479" s="32">
        <v>21.4</v>
      </c>
      <c r="N479" s="33">
        <f t="shared" si="23"/>
        <v>3.8647778966815066E-2</v>
      </c>
    </row>
    <row r="480" spans="1:14" x14ac:dyDescent="0.3">
      <c r="A480" s="42" t="s">
        <v>446</v>
      </c>
      <c r="B480" s="17" t="s">
        <v>11</v>
      </c>
      <c r="C480" s="17" t="s">
        <v>447</v>
      </c>
      <c r="D480" s="43">
        <v>49.299999237060497</v>
      </c>
      <c r="E480" s="43">
        <v>26</v>
      </c>
      <c r="F480" s="17">
        <v>2015</v>
      </c>
      <c r="G480" s="36">
        <v>26.200000762939499</v>
      </c>
      <c r="H480" s="28">
        <f t="shared" si="21"/>
        <v>53.144018597152559</v>
      </c>
      <c r="I480" s="30">
        <f t="shared" si="22"/>
        <v>52.738337530145259</v>
      </c>
      <c r="J480" s="31">
        <v>1370</v>
      </c>
      <c r="K480" s="30">
        <v>700</v>
      </c>
      <c r="L480" s="30">
        <v>1149</v>
      </c>
      <c r="M480" s="41">
        <v>10.1</v>
      </c>
      <c r="N480" s="33">
        <f t="shared" si="23"/>
        <v>3.849513688331771E-2</v>
      </c>
    </row>
    <row r="481" spans="1:34" x14ac:dyDescent="0.3">
      <c r="A481" s="27" t="s">
        <v>1087</v>
      </c>
      <c r="B481" s="27" t="s">
        <v>128</v>
      </c>
      <c r="C481" s="26" t="s">
        <v>1088</v>
      </c>
      <c r="D481" s="29">
        <v>15.1</v>
      </c>
      <c r="E481" s="29">
        <v>11.592000000000001</v>
      </c>
      <c r="F481" s="27">
        <v>2015</v>
      </c>
      <c r="G481" s="29">
        <v>7.1</v>
      </c>
      <c r="H481" s="28">
        <f t="shared" si="21"/>
        <v>47.019867549668874</v>
      </c>
      <c r="I481" s="30">
        <f t="shared" si="22"/>
        <v>76.768211920529808</v>
      </c>
      <c r="J481" s="31">
        <v>1996</v>
      </c>
      <c r="K481" s="31">
        <v>842</v>
      </c>
      <c r="L481" s="31">
        <v>2506</v>
      </c>
      <c r="M481" s="32">
        <v>19.2</v>
      </c>
      <c r="N481" s="33">
        <f t="shared" si="23"/>
        <v>3.8461028016297499E-2</v>
      </c>
    </row>
    <row r="482" spans="1:34" x14ac:dyDescent="0.3">
      <c r="A482" s="27" t="s">
        <v>1255</v>
      </c>
      <c r="B482" s="27" t="s">
        <v>128</v>
      </c>
      <c r="C482" s="26" t="s">
        <v>1256</v>
      </c>
      <c r="D482" s="29">
        <v>70</v>
      </c>
      <c r="E482" s="29">
        <v>54.62</v>
      </c>
      <c r="F482" s="27">
        <v>2015</v>
      </c>
      <c r="G482" s="29">
        <v>26</v>
      </c>
      <c r="H482" s="28">
        <f t="shared" si="21"/>
        <v>37.142857142857146</v>
      </c>
      <c r="I482" s="30">
        <f t="shared" si="22"/>
        <v>78.028571428571425</v>
      </c>
      <c r="J482" s="31">
        <v>2034</v>
      </c>
      <c r="K482" s="31">
        <v>483</v>
      </c>
      <c r="L482" s="31">
        <v>2553</v>
      </c>
      <c r="M482" s="32">
        <v>18.8</v>
      </c>
      <c r="N482" s="33">
        <f t="shared" si="23"/>
        <v>3.8362129512571987E-2</v>
      </c>
      <c r="Y482" s="54"/>
    </row>
    <row r="483" spans="1:34" x14ac:dyDescent="0.3">
      <c r="A483" s="27" t="s">
        <v>982</v>
      </c>
      <c r="B483" s="27" t="s">
        <v>4</v>
      </c>
      <c r="C483" s="26" t="s">
        <v>983</v>
      </c>
      <c r="D483" s="29">
        <v>94.2</v>
      </c>
      <c r="E483" s="29">
        <v>58</v>
      </c>
      <c r="F483" s="27">
        <v>2015</v>
      </c>
      <c r="G483" s="29">
        <v>50</v>
      </c>
      <c r="H483" s="28">
        <f t="shared" si="21"/>
        <v>53.07855626326964</v>
      </c>
      <c r="I483" s="30">
        <f t="shared" si="22"/>
        <v>61.57112526539278</v>
      </c>
      <c r="J483" s="31">
        <v>1613</v>
      </c>
      <c r="K483" s="31">
        <v>660</v>
      </c>
      <c r="L483" s="31">
        <v>1768</v>
      </c>
      <c r="M483" s="32">
        <v>3.3</v>
      </c>
      <c r="N483" s="33">
        <f t="shared" si="23"/>
        <v>3.8171807356102157E-2</v>
      </c>
    </row>
    <row r="484" spans="1:34" x14ac:dyDescent="0.3">
      <c r="A484" s="27" t="s">
        <v>1245</v>
      </c>
      <c r="B484" s="27" t="s">
        <v>128</v>
      </c>
      <c r="C484" s="26" t="s">
        <v>1246</v>
      </c>
      <c r="D484" s="29">
        <v>57.8</v>
      </c>
      <c r="E484" s="29">
        <v>48.204999999999998</v>
      </c>
      <c r="F484" s="27">
        <v>2014</v>
      </c>
      <c r="G484" s="29">
        <v>22</v>
      </c>
      <c r="H484" s="28">
        <f t="shared" si="21"/>
        <v>38.062283737024224</v>
      </c>
      <c r="I484" s="30">
        <f t="shared" si="22"/>
        <v>83.399653979238749</v>
      </c>
      <c r="J484" s="31">
        <v>2197</v>
      </c>
      <c r="K484" s="31">
        <v>429</v>
      </c>
      <c r="L484" s="31">
        <v>2970</v>
      </c>
      <c r="M484" s="32">
        <v>15.6</v>
      </c>
      <c r="N484" s="33">
        <f t="shared" si="23"/>
        <v>3.7960698215402253E-2</v>
      </c>
      <c r="O484" s="54"/>
      <c r="Q484" s="54"/>
      <c r="S484" s="54"/>
      <c r="T484" s="54"/>
      <c r="U484" s="54"/>
      <c r="V484" s="54"/>
      <c r="W484" s="54"/>
      <c r="X484" s="54"/>
      <c r="Y484" s="54"/>
      <c r="Z484" s="54"/>
      <c r="AA484" s="54"/>
      <c r="AB484" s="54"/>
      <c r="AC484" s="54"/>
      <c r="AD484" s="54"/>
      <c r="AE484" s="54"/>
      <c r="AF484" s="54"/>
      <c r="AG484" s="54"/>
      <c r="AH484" s="54"/>
    </row>
    <row r="485" spans="1:34" x14ac:dyDescent="0.3">
      <c r="A485" s="27" t="s">
        <v>1113</v>
      </c>
      <c r="B485" s="27" t="s">
        <v>128</v>
      </c>
      <c r="C485" s="26" t="s">
        <v>1114</v>
      </c>
      <c r="D485" s="29">
        <v>15.5</v>
      </c>
      <c r="E485" s="29">
        <v>12.887499999999999</v>
      </c>
      <c r="F485" s="27">
        <v>2014</v>
      </c>
      <c r="G485" s="29">
        <v>7</v>
      </c>
      <c r="H485" s="28">
        <f t="shared" si="21"/>
        <v>45.161290322580648</v>
      </c>
      <c r="I485" s="30">
        <f t="shared" si="22"/>
        <v>83.145161290322577</v>
      </c>
      <c r="J485" s="31">
        <v>2191</v>
      </c>
      <c r="K485" s="31">
        <v>431</v>
      </c>
      <c r="L485" s="31">
        <v>2953</v>
      </c>
      <c r="M485" s="32">
        <v>16.100000000000001</v>
      </c>
      <c r="N485" s="33">
        <f t="shared" si="23"/>
        <v>3.7948498991475392E-2</v>
      </c>
    </row>
    <row r="486" spans="1:34" x14ac:dyDescent="0.3">
      <c r="A486" s="27" t="s">
        <v>1155</v>
      </c>
      <c r="B486" s="27" t="s">
        <v>128</v>
      </c>
      <c r="C486" s="26" t="s">
        <v>1156</v>
      </c>
      <c r="D486" s="29">
        <v>14.8</v>
      </c>
      <c r="E486" s="29">
        <v>9.1660000000000004</v>
      </c>
      <c r="F486" s="27">
        <v>2014</v>
      </c>
      <c r="G486" s="29">
        <v>6.4</v>
      </c>
      <c r="H486" s="28">
        <f t="shared" si="21"/>
        <v>43.243243243243242</v>
      </c>
      <c r="I486" s="30">
        <f t="shared" si="22"/>
        <v>61.932432432432435</v>
      </c>
      <c r="J486" s="31">
        <v>1635</v>
      </c>
      <c r="K486" s="31">
        <v>650</v>
      </c>
      <c r="L486" s="31">
        <v>1658</v>
      </c>
      <c r="M486" s="32">
        <v>15.8</v>
      </c>
      <c r="N486" s="33">
        <f t="shared" si="23"/>
        <v>3.7879163567236966E-2</v>
      </c>
    </row>
    <row r="487" spans="1:34" x14ac:dyDescent="0.3">
      <c r="A487" s="27" t="s">
        <v>1309</v>
      </c>
      <c r="B487" s="27" t="s">
        <v>0</v>
      </c>
      <c r="C487" s="26" t="s">
        <v>1310</v>
      </c>
      <c r="D487" s="50">
        <v>167.5</v>
      </c>
      <c r="E487" s="29">
        <v>127.5647</v>
      </c>
      <c r="F487" s="27">
        <v>2016</v>
      </c>
      <c r="G487" s="29">
        <v>53</v>
      </c>
      <c r="H487" s="28">
        <f t="shared" si="21"/>
        <v>31.64179104477612</v>
      </c>
      <c r="I487" s="30">
        <f t="shared" si="22"/>
        <v>76.158029850746274</v>
      </c>
      <c r="J487" s="31">
        <v>2014</v>
      </c>
      <c r="K487" s="31">
        <v>503</v>
      </c>
      <c r="L487" s="31">
        <v>2550</v>
      </c>
      <c r="M487" s="32">
        <v>18.5</v>
      </c>
      <c r="N487" s="33">
        <f t="shared" si="23"/>
        <v>3.7814314722316916E-2</v>
      </c>
    </row>
    <row r="488" spans="1:34" x14ac:dyDescent="0.3">
      <c r="A488" s="42" t="s">
        <v>434</v>
      </c>
      <c r="B488" s="17" t="s">
        <v>11</v>
      </c>
      <c r="C488" s="17" t="s">
        <v>435</v>
      </c>
      <c r="D488" s="43">
        <v>20.899999618530298</v>
      </c>
      <c r="E488" s="43">
        <v>11</v>
      </c>
      <c r="F488" s="17">
        <v>2015</v>
      </c>
      <c r="G488" s="36">
        <v>9.8999996185302699</v>
      </c>
      <c r="H488" s="28">
        <f t="shared" si="21"/>
        <v>47.368420091992533</v>
      </c>
      <c r="I488" s="30">
        <f t="shared" si="22"/>
        <v>52.631579908007325</v>
      </c>
      <c r="J488" s="31">
        <v>1392</v>
      </c>
      <c r="K488" s="30">
        <v>728</v>
      </c>
      <c r="L488" s="30">
        <v>1073</v>
      </c>
      <c r="M488" s="41">
        <v>13.5</v>
      </c>
      <c r="N488" s="33">
        <f t="shared" si="23"/>
        <v>3.7810043037361581E-2</v>
      </c>
    </row>
    <row r="489" spans="1:34" x14ac:dyDescent="0.3">
      <c r="A489" s="27" t="s">
        <v>1189</v>
      </c>
      <c r="B489" s="27" t="s">
        <v>128</v>
      </c>
      <c r="C489" s="26" t="s">
        <v>1190</v>
      </c>
      <c r="D489" s="29">
        <v>15.5</v>
      </c>
      <c r="E489" s="29">
        <v>9.6174999999999997</v>
      </c>
      <c r="F489" s="27">
        <v>2015</v>
      </c>
      <c r="G489" s="29">
        <v>6.4</v>
      </c>
      <c r="H489" s="28">
        <f t="shared" si="21"/>
        <v>41.29032258064516</v>
      </c>
      <c r="I489" s="30">
        <f t="shared" si="22"/>
        <v>62.048387096774192</v>
      </c>
      <c r="J489" s="31">
        <v>1642</v>
      </c>
      <c r="K489" s="31">
        <v>636</v>
      </c>
      <c r="L489" s="31">
        <v>1705</v>
      </c>
      <c r="M489" s="32">
        <v>13.4</v>
      </c>
      <c r="N489" s="33">
        <f t="shared" si="23"/>
        <v>3.7788299084515344E-2</v>
      </c>
    </row>
    <row r="490" spans="1:34" x14ac:dyDescent="0.3">
      <c r="A490" s="27" t="s">
        <v>908</v>
      </c>
      <c r="B490" s="27" t="s">
        <v>128</v>
      </c>
      <c r="C490" s="26" t="s">
        <v>909</v>
      </c>
      <c r="D490" s="29">
        <v>11.8</v>
      </c>
      <c r="E490" s="29">
        <v>8.8856000000000002</v>
      </c>
      <c r="F490" s="27">
        <v>2014</v>
      </c>
      <c r="G490" s="29">
        <v>6.77</v>
      </c>
      <c r="H490" s="28">
        <f t="shared" si="21"/>
        <v>57.372881355932201</v>
      </c>
      <c r="I490" s="30">
        <f t="shared" si="22"/>
        <v>75.301694915254231</v>
      </c>
      <c r="J490" s="31">
        <v>1994</v>
      </c>
      <c r="K490" s="31">
        <v>499</v>
      </c>
      <c r="L490" s="31">
        <v>2439</v>
      </c>
      <c r="M490" s="32">
        <v>18.399999999999999</v>
      </c>
      <c r="N490" s="33">
        <f t="shared" si="23"/>
        <v>3.7764139877258893E-2</v>
      </c>
    </row>
    <row r="491" spans="1:34" x14ac:dyDescent="0.3">
      <c r="A491" s="27" t="s">
        <v>1173</v>
      </c>
      <c r="B491" s="27" t="s">
        <v>9</v>
      </c>
      <c r="C491" s="26" t="s">
        <v>1174</v>
      </c>
      <c r="D491" s="29">
        <v>57</v>
      </c>
      <c r="E491" s="29">
        <v>43.2</v>
      </c>
      <c r="F491" s="27">
        <v>2014</v>
      </c>
      <c r="G491" s="29">
        <v>24.17</v>
      </c>
      <c r="H491" s="28">
        <f t="shared" si="21"/>
        <v>42.403508771929822</v>
      </c>
      <c r="I491" s="30">
        <f t="shared" si="22"/>
        <v>75.78947368421052</v>
      </c>
      <c r="J491" s="31">
        <v>2011</v>
      </c>
      <c r="K491" s="31">
        <v>829</v>
      </c>
      <c r="L491" s="31">
        <v>1784</v>
      </c>
      <c r="M491" s="32">
        <v>28.4</v>
      </c>
      <c r="N491" s="33">
        <f t="shared" si="23"/>
        <v>3.7687455835012693E-2</v>
      </c>
      <c r="O491" s="54"/>
      <c r="Q491" s="54"/>
      <c r="S491" s="54"/>
      <c r="T491" s="54"/>
      <c r="U491" s="54"/>
      <c r="V491" s="54"/>
      <c r="W491" s="54"/>
      <c r="X491" s="54"/>
      <c r="Y491" s="54"/>
      <c r="Z491" s="54"/>
      <c r="AA491" s="54"/>
      <c r="AB491" s="54"/>
      <c r="AC491" s="54"/>
      <c r="AD491" s="54"/>
      <c r="AE491" s="54"/>
      <c r="AF491" s="54"/>
      <c r="AG491" s="54"/>
      <c r="AH491" s="54"/>
    </row>
    <row r="492" spans="1:34" x14ac:dyDescent="0.3">
      <c r="A492" s="42" t="s">
        <v>346</v>
      </c>
      <c r="B492" s="17" t="s">
        <v>11</v>
      </c>
      <c r="C492" s="17" t="s">
        <v>347</v>
      </c>
      <c r="D492" s="43">
        <v>16.299999237060501</v>
      </c>
      <c r="E492" s="43">
        <v>9.5</v>
      </c>
      <c r="F492" s="17">
        <v>2014</v>
      </c>
      <c r="G492" s="36">
        <v>8</v>
      </c>
      <c r="H492" s="28">
        <f t="shared" si="21"/>
        <v>49.079756898459216</v>
      </c>
      <c r="I492" s="30">
        <f t="shared" si="22"/>
        <v>58.282211316920318</v>
      </c>
      <c r="J492" s="31">
        <v>1554</v>
      </c>
      <c r="K492" s="30">
        <v>665</v>
      </c>
      <c r="L492" s="30">
        <v>1505</v>
      </c>
      <c r="M492" s="41">
        <v>9</v>
      </c>
      <c r="N492" s="33">
        <f t="shared" si="23"/>
        <v>3.750464048707871E-2</v>
      </c>
    </row>
    <row r="493" spans="1:34" ht="28.8" x14ac:dyDescent="0.3">
      <c r="A493" s="34" t="s">
        <v>33</v>
      </c>
      <c r="B493" s="16" t="s">
        <v>31</v>
      </c>
      <c r="C493" s="16" t="s">
        <v>197</v>
      </c>
      <c r="D493" s="35">
        <v>1600</v>
      </c>
      <c r="E493" s="35">
        <v>1287</v>
      </c>
      <c r="F493" s="16">
        <v>2015</v>
      </c>
      <c r="G493" s="36">
        <v>550</v>
      </c>
      <c r="H493" s="28">
        <f t="shared" si="21"/>
        <v>34.375</v>
      </c>
      <c r="I493" s="30">
        <f t="shared" si="22"/>
        <v>80.4375</v>
      </c>
      <c r="J493" s="49">
        <v>2146</v>
      </c>
      <c r="K493" s="30">
        <v>498</v>
      </c>
      <c r="L493" s="30">
        <v>2701</v>
      </c>
      <c r="M493" s="31">
        <v>22.7</v>
      </c>
      <c r="N493" s="33">
        <f t="shared" si="23"/>
        <v>3.7482525629077355E-2</v>
      </c>
    </row>
    <row r="494" spans="1:34" x14ac:dyDescent="0.3">
      <c r="A494" s="34" t="s">
        <v>198</v>
      </c>
      <c r="B494" s="16" t="s">
        <v>0</v>
      </c>
      <c r="C494" s="16" t="s">
        <v>199</v>
      </c>
      <c r="D494" s="35">
        <v>191</v>
      </c>
      <c r="E494" s="35">
        <v>140</v>
      </c>
      <c r="F494" s="16">
        <v>2016</v>
      </c>
      <c r="G494" s="36">
        <v>70</v>
      </c>
      <c r="H494" s="28">
        <f t="shared" si="21"/>
        <v>36.64921465968586</v>
      </c>
      <c r="I494" s="30">
        <f t="shared" si="22"/>
        <v>73.298429319371721</v>
      </c>
      <c r="J494" s="48">
        <v>1956</v>
      </c>
      <c r="K494" s="30">
        <v>553</v>
      </c>
      <c r="L494" s="30">
        <v>2339</v>
      </c>
      <c r="M494" s="31">
        <v>19.7</v>
      </c>
      <c r="N494" s="33">
        <f t="shared" si="23"/>
        <v>3.7473634621355688E-2</v>
      </c>
      <c r="O494" s="54"/>
      <c r="Q494" s="54"/>
      <c r="S494" s="54"/>
      <c r="T494" s="54"/>
      <c r="U494" s="54"/>
      <c r="V494" s="54"/>
      <c r="W494" s="54"/>
      <c r="X494" s="54"/>
      <c r="Y494" s="54"/>
      <c r="Z494" s="54"/>
      <c r="AA494" s="54"/>
      <c r="AB494" s="54"/>
      <c r="AC494" s="54"/>
      <c r="AD494" s="54"/>
      <c r="AE494" s="54"/>
      <c r="AF494" s="54"/>
      <c r="AG494" s="54"/>
      <c r="AH494" s="54"/>
    </row>
    <row r="495" spans="1:34" x14ac:dyDescent="0.3">
      <c r="A495" s="27" t="s">
        <v>928</v>
      </c>
      <c r="B495" s="27" t="s">
        <v>128</v>
      </c>
      <c r="C495" s="26" t="s">
        <v>929</v>
      </c>
      <c r="D495" s="29">
        <v>10.1</v>
      </c>
      <c r="E495" s="29">
        <v>5.9429999999999996</v>
      </c>
      <c r="F495" s="27">
        <v>2015</v>
      </c>
      <c r="G495" s="29">
        <v>5.7</v>
      </c>
      <c r="H495" s="28">
        <f t="shared" si="21"/>
        <v>56.435643564356432</v>
      </c>
      <c r="I495" s="30">
        <f t="shared" si="22"/>
        <v>58.841584158415841</v>
      </c>
      <c r="J495" s="31">
        <v>1573</v>
      </c>
      <c r="K495" s="31">
        <v>602</v>
      </c>
      <c r="L495" s="31">
        <v>1663</v>
      </c>
      <c r="M495" s="32">
        <v>13</v>
      </c>
      <c r="N495" s="33">
        <f t="shared" si="23"/>
        <v>3.7407237227219226E-2</v>
      </c>
    </row>
    <row r="496" spans="1:34" x14ac:dyDescent="0.3">
      <c r="A496" s="27" t="s">
        <v>831</v>
      </c>
      <c r="B496" s="27" t="s">
        <v>128</v>
      </c>
      <c r="C496" s="26" t="s">
        <v>832</v>
      </c>
      <c r="D496" s="29">
        <v>10.199999999999999</v>
      </c>
      <c r="E496" s="29">
        <v>6.39</v>
      </c>
      <c r="F496" s="27">
        <v>2015</v>
      </c>
      <c r="G496" s="29">
        <v>6.3273000000000001</v>
      </c>
      <c r="H496" s="28">
        <f t="shared" si="21"/>
        <v>62.03235294117647</v>
      </c>
      <c r="I496" s="30">
        <f t="shared" si="22"/>
        <v>62.647058823529413</v>
      </c>
      <c r="J496" s="31">
        <v>1677</v>
      </c>
      <c r="K496" s="31">
        <v>656</v>
      </c>
      <c r="L496" s="31">
        <v>1699</v>
      </c>
      <c r="M496" s="32">
        <v>16.2</v>
      </c>
      <c r="N496" s="33">
        <f t="shared" si="23"/>
        <v>3.7356624223929283E-2</v>
      </c>
    </row>
    <row r="497" spans="1:34" x14ac:dyDescent="0.3">
      <c r="A497" s="34" t="s">
        <v>200</v>
      </c>
      <c r="B497" s="16" t="s">
        <v>3</v>
      </c>
      <c r="C497" s="16" t="s">
        <v>201</v>
      </c>
      <c r="D497" s="35">
        <v>177.1</v>
      </c>
      <c r="E497" s="35">
        <v>161</v>
      </c>
      <c r="F497" s="16">
        <v>2016</v>
      </c>
      <c r="G497" s="36">
        <v>69.5</v>
      </c>
      <c r="H497" s="28">
        <f t="shared" si="21"/>
        <v>39.243365330321851</v>
      </c>
      <c r="I497" s="30">
        <f t="shared" si="22"/>
        <v>90.909090909090907</v>
      </c>
      <c r="J497" s="48">
        <v>2434</v>
      </c>
      <c r="K497" s="30">
        <v>542</v>
      </c>
      <c r="L497" s="30">
        <v>2884</v>
      </c>
      <c r="M497" s="31">
        <v>18.5</v>
      </c>
      <c r="N497" s="33">
        <f t="shared" si="23"/>
        <v>3.7349667587958463E-2</v>
      </c>
      <c r="O497" s="54"/>
      <c r="Q497" s="54"/>
      <c r="S497" s="54"/>
      <c r="T497" s="54"/>
      <c r="U497" s="54"/>
      <c r="V497" s="54"/>
      <c r="W497" s="54"/>
      <c r="X497" s="54"/>
      <c r="Y497" s="54"/>
      <c r="Z497" s="54"/>
      <c r="AA497" s="54"/>
      <c r="AB497" s="54"/>
      <c r="AC497" s="54"/>
      <c r="AD497" s="54"/>
      <c r="AE497" s="54"/>
      <c r="AF497" s="54"/>
      <c r="AG497" s="54"/>
      <c r="AH497" s="54"/>
    </row>
    <row r="498" spans="1:34" x14ac:dyDescent="0.3">
      <c r="A498" s="27" t="s">
        <v>1241</v>
      </c>
      <c r="B498" s="27" t="s">
        <v>128</v>
      </c>
      <c r="C498" s="26" t="s">
        <v>1242</v>
      </c>
      <c r="D498" s="29">
        <v>71.400000000000006</v>
      </c>
      <c r="E498" s="29">
        <v>53.067999999999998</v>
      </c>
      <c r="F498" s="27">
        <v>2015</v>
      </c>
      <c r="G498" s="29">
        <v>27.23</v>
      </c>
      <c r="H498" s="28">
        <f t="shared" si="21"/>
        <v>38.137254901960787</v>
      </c>
      <c r="I498" s="30">
        <f t="shared" si="22"/>
        <v>74.324929971988794</v>
      </c>
      <c r="J498" s="31">
        <v>1990</v>
      </c>
      <c r="K498" s="31">
        <v>498</v>
      </c>
      <c r="L498" s="31">
        <v>2429</v>
      </c>
      <c r="M498" s="32">
        <v>19.3</v>
      </c>
      <c r="N498" s="33">
        <f t="shared" si="23"/>
        <v>3.7349211041200397E-2</v>
      </c>
    </row>
    <row r="499" spans="1:34" x14ac:dyDescent="0.3">
      <c r="A499" s="27" t="s">
        <v>1265</v>
      </c>
      <c r="B499" s="27" t="s">
        <v>128</v>
      </c>
      <c r="C499" s="26" t="s">
        <v>1266</v>
      </c>
      <c r="D499" s="29">
        <v>51.3</v>
      </c>
      <c r="E499" s="29">
        <v>38.907499999999999</v>
      </c>
      <c r="F499" s="27">
        <v>2015</v>
      </c>
      <c r="G499" s="29">
        <v>18.72</v>
      </c>
      <c r="H499" s="28">
        <f t="shared" si="21"/>
        <v>36.491228070175438</v>
      </c>
      <c r="I499" s="30">
        <f t="shared" si="22"/>
        <v>75.843079922027286</v>
      </c>
      <c r="J499" s="31">
        <v>2033</v>
      </c>
      <c r="K499" s="31">
        <v>483</v>
      </c>
      <c r="L499" s="31">
        <v>2547</v>
      </c>
      <c r="M499" s="31">
        <v>18.8</v>
      </c>
      <c r="N499" s="33">
        <f t="shared" si="23"/>
        <v>3.7305991107735997E-2</v>
      </c>
    </row>
    <row r="500" spans="1:34" x14ac:dyDescent="0.3">
      <c r="A500" s="42" t="s">
        <v>282</v>
      </c>
      <c r="B500" s="17" t="s">
        <v>128</v>
      </c>
      <c r="C500" s="17" t="s">
        <v>283</v>
      </c>
      <c r="D500" s="43">
        <v>25.799999237060501</v>
      </c>
      <c r="E500" s="43">
        <v>17</v>
      </c>
      <c r="F500" s="17">
        <v>2017</v>
      </c>
      <c r="G500" s="36">
        <v>9.5</v>
      </c>
      <c r="H500" s="28">
        <f t="shared" si="21"/>
        <v>36.82170651522226</v>
      </c>
      <c r="I500" s="30">
        <f t="shared" si="22"/>
        <v>65.891474816713526</v>
      </c>
      <c r="J500" s="31">
        <v>1770</v>
      </c>
      <c r="K500" s="30">
        <v>695</v>
      </c>
      <c r="L500" s="30">
        <v>1738</v>
      </c>
      <c r="M500" s="41">
        <v>20.399999999999999</v>
      </c>
      <c r="N500" s="33">
        <f t="shared" si="23"/>
        <v>3.7226821930346626E-2</v>
      </c>
    </row>
    <row r="501" spans="1:34" x14ac:dyDescent="0.3">
      <c r="A501" s="27" t="s">
        <v>986</v>
      </c>
      <c r="B501" s="27" t="s">
        <v>128</v>
      </c>
      <c r="C501" s="26" t="s">
        <v>987</v>
      </c>
      <c r="D501" s="29">
        <v>88.9</v>
      </c>
      <c r="E501" s="29">
        <v>55.146999999999998</v>
      </c>
      <c r="F501" s="27">
        <v>2017</v>
      </c>
      <c r="G501" s="29">
        <v>47</v>
      </c>
      <c r="H501" s="28">
        <f t="shared" si="21"/>
        <v>52.868391451068618</v>
      </c>
      <c r="I501" s="30">
        <f t="shared" si="22"/>
        <v>62.032620922384702</v>
      </c>
      <c r="J501" s="31">
        <v>1670</v>
      </c>
      <c r="K501" s="31">
        <v>656</v>
      </c>
      <c r="L501" s="31">
        <v>1691</v>
      </c>
      <c r="M501" s="32">
        <v>16.100000000000001</v>
      </c>
      <c r="N501" s="33">
        <f t="shared" si="23"/>
        <v>3.7145281989451918E-2</v>
      </c>
    </row>
    <row r="502" spans="1:34" x14ac:dyDescent="0.3">
      <c r="A502" s="34" t="s">
        <v>202</v>
      </c>
      <c r="B502" s="16" t="s">
        <v>7</v>
      </c>
      <c r="C502" s="16" t="s">
        <v>203</v>
      </c>
      <c r="D502" s="35">
        <v>16.3</v>
      </c>
      <c r="E502" s="35">
        <v>6.5759069999999999</v>
      </c>
      <c r="F502" s="16">
        <v>2015</v>
      </c>
      <c r="G502" s="36">
        <v>7.1</v>
      </c>
      <c r="H502" s="28">
        <f t="shared" si="21"/>
        <v>43.558282208588956</v>
      </c>
      <c r="I502" s="30">
        <f t="shared" si="22"/>
        <v>40.342987730061353</v>
      </c>
      <c r="J502" s="48">
        <v>1089</v>
      </c>
      <c r="K502" s="30">
        <v>569</v>
      </c>
      <c r="L502" s="30">
        <v>986</v>
      </c>
      <c r="M502" s="31">
        <v>9.5</v>
      </c>
      <c r="N502" s="33">
        <f t="shared" si="23"/>
        <v>3.7045902415116023E-2</v>
      </c>
    </row>
    <row r="503" spans="1:34" x14ac:dyDescent="0.3">
      <c r="A503" s="34" t="s">
        <v>204</v>
      </c>
      <c r="B503" s="16" t="s">
        <v>2</v>
      </c>
      <c r="C503" s="16" t="s">
        <v>205</v>
      </c>
      <c r="D503" s="35">
        <v>40.5</v>
      </c>
      <c r="E503" s="35">
        <v>20</v>
      </c>
      <c r="F503" s="16">
        <v>2015</v>
      </c>
      <c r="G503" s="36">
        <v>18</v>
      </c>
      <c r="H503" s="28">
        <f t="shared" si="21"/>
        <v>44.444444444444443</v>
      </c>
      <c r="I503" s="30">
        <f t="shared" si="22"/>
        <v>49.382716049382715</v>
      </c>
      <c r="J503" s="48">
        <v>1339</v>
      </c>
      <c r="K503" s="30">
        <v>569</v>
      </c>
      <c r="L503" s="30">
        <v>1393</v>
      </c>
      <c r="M503" s="31">
        <v>6.5</v>
      </c>
      <c r="N503" s="33">
        <f t="shared" si="23"/>
        <v>3.6880295779972157E-2</v>
      </c>
    </row>
    <row r="504" spans="1:34" x14ac:dyDescent="0.3">
      <c r="A504" s="42" t="s">
        <v>316</v>
      </c>
      <c r="B504" s="17" t="s">
        <v>4</v>
      </c>
      <c r="C504" s="17" t="s">
        <v>317</v>
      </c>
      <c r="D504" s="43">
        <v>56.099998474121101</v>
      </c>
      <c r="E504" s="43">
        <v>34.0200004577637</v>
      </c>
      <c r="F504" s="17">
        <v>2015</v>
      </c>
      <c r="G504" s="36">
        <v>20.299999237060501</v>
      </c>
      <c r="H504" s="28">
        <f t="shared" si="21"/>
        <v>36.185382868459222</v>
      </c>
      <c r="I504" s="30">
        <f t="shared" si="22"/>
        <v>60.641713695334779</v>
      </c>
      <c r="J504" s="31">
        <v>1645</v>
      </c>
      <c r="K504" s="30">
        <v>624</v>
      </c>
      <c r="L504" s="30">
        <v>1840</v>
      </c>
      <c r="M504" s="41">
        <v>8.1</v>
      </c>
      <c r="N504" s="33">
        <f t="shared" si="23"/>
        <v>3.6864263644580411E-2</v>
      </c>
    </row>
    <row r="505" spans="1:34" x14ac:dyDescent="0.3">
      <c r="A505" s="27" t="s">
        <v>1291</v>
      </c>
      <c r="B505" s="27" t="s">
        <v>128</v>
      </c>
      <c r="C505" s="26" t="s">
        <v>1292</v>
      </c>
      <c r="D505" s="29">
        <v>94.4</v>
      </c>
      <c r="E505" s="29">
        <v>68.986999999999995</v>
      </c>
      <c r="F505" s="27">
        <v>2016</v>
      </c>
      <c r="G505" s="29">
        <v>32.4</v>
      </c>
      <c r="H505" s="28">
        <f t="shared" si="21"/>
        <v>34.322033898305087</v>
      </c>
      <c r="I505" s="30">
        <f t="shared" si="22"/>
        <v>73.079449152542367</v>
      </c>
      <c r="J505" s="31">
        <v>1989</v>
      </c>
      <c r="K505" s="31">
        <v>517</v>
      </c>
      <c r="L505" s="31">
        <v>2490</v>
      </c>
      <c r="M505" s="32">
        <v>15.7</v>
      </c>
      <c r="N505" s="33">
        <f t="shared" si="23"/>
        <v>3.6741804501026834E-2</v>
      </c>
      <c r="V505" s="4"/>
    </row>
    <row r="506" spans="1:34" x14ac:dyDescent="0.3">
      <c r="A506" s="27" t="s">
        <v>1107</v>
      </c>
      <c r="B506" s="27" t="s">
        <v>0</v>
      </c>
      <c r="C506" s="26" t="s">
        <v>1108</v>
      </c>
      <c r="D506" s="29">
        <v>10.9</v>
      </c>
      <c r="E506" s="29">
        <v>8.68</v>
      </c>
      <c r="F506" s="27">
        <v>2017</v>
      </c>
      <c r="G506" s="29">
        <v>5</v>
      </c>
      <c r="H506" s="28">
        <f t="shared" si="21"/>
        <v>45.871559633027523</v>
      </c>
      <c r="I506" s="30">
        <f t="shared" si="22"/>
        <v>79.633027522935777</v>
      </c>
      <c r="J506" s="31">
        <v>2169</v>
      </c>
      <c r="K506" s="31">
        <v>624</v>
      </c>
      <c r="L506" s="31">
        <v>2346</v>
      </c>
      <c r="M506" s="32">
        <v>27.2</v>
      </c>
      <c r="N506" s="33">
        <f t="shared" si="23"/>
        <v>3.671416667724102E-2</v>
      </c>
    </row>
    <row r="507" spans="1:34" x14ac:dyDescent="0.3">
      <c r="A507" s="27" t="s">
        <v>1247</v>
      </c>
      <c r="B507" s="27" t="s">
        <v>128</v>
      </c>
      <c r="C507" s="26" t="s">
        <v>1248</v>
      </c>
      <c r="D507" s="29">
        <v>73.599999999999994</v>
      </c>
      <c r="E507" s="29">
        <v>43.984999999999999</v>
      </c>
      <c r="F507" s="27">
        <v>2015</v>
      </c>
      <c r="G507" s="29">
        <v>28</v>
      </c>
      <c r="H507" s="28">
        <f t="shared" si="21"/>
        <v>38.043478260869563</v>
      </c>
      <c r="I507" s="30">
        <f t="shared" si="22"/>
        <v>59.762228260869563</v>
      </c>
      <c r="J507" s="31">
        <v>1630</v>
      </c>
      <c r="K507" s="31">
        <v>639</v>
      </c>
      <c r="L507" s="31">
        <v>1675</v>
      </c>
      <c r="M507" s="32">
        <v>14.9</v>
      </c>
      <c r="N507" s="33">
        <f t="shared" si="23"/>
        <v>3.6663943718324883E-2</v>
      </c>
    </row>
    <row r="508" spans="1:34" x14ac:dyDescent="0.3">
      <c r="A508" s="27" t="s">
        <v>1237</v>
      </c>
      <c r="B508" s="27" t="s">
        <v>128</v>
      </c>
      <c r="C508" s="26" t="s">
        <v>1238</v>
      </c>
      <c r="D508" s="29">
        <v>211.5</v>
      </c>
      <c r="E508" s="29">
        <v>157.13069999999999</v>
      </c>
      <c r="F508" s="27">
        <v>2014</v>
      </c>
      <c r="G508" s="29">
        <v>81.599999999999994</v>
      </c>
      <c r="H508" s="28">
        <f t="shared" si="21"/>
        <v>38.581560283687942</v>
      </c>
      <c r="I508" s="30">
        <f t="shared" si="22"/>
        <v>74.29347517730497</v>
      </c>
      <c r="J508" s="31">
        <v>2027</v>
      </c>
      <c r="K508" s="31">
        <v>488</v>
      </c>
      <c r="L508" s="31">
        <v>2508</v>
      </c>
      <c r="M508" s="32">
        <v>17</v>
      </c>
      <c r="N508" s="33">
        <f t="shared" si="23"/>
        <v>3.6651936446623075E-2</v>
      </c>
    </row>
    <row r="509" spans="1:34" x14ac:dyDescent="0.3">
      <c r="A509" s="27" t="s">
        <v>1163</v>
      </c>
      <c r="B509" s="27" t="s">
        <v>9</v>
      </c>
      <c r="C509" s="26" t="s">
        <v>1164</v>
      </c>
      <c r="D509" s="29">
        <v>27.9</v>
      </c>
      <c r="E509" s="29">
        <v>19.831</v>
      </c>
      <c r="F509" s="27">
        <v>2014</v>
      </c>
      <c r="G509" s="29">
        <v>12</v>
      </c>
      <c r="H509" s="28">
        <f t="shared" ref="H509:H572" si="24">G509*10^6/(D509*10^4)</f>
        <v>43.01075268817204</v>
      </c>
      <c r="I509" s="30">
        <f t="shared" ref="I509:I572" si="25">E509*10^6/(D509*10^4)</f>
        <v>71.078853046594986</v>
      </c>
      <c r="J509" s="31">
        <v>1946</v>
      </c>
      <c r="K509" s="31">
        <v>888</v>
      </c>
      <c r="L509" s="31">
        <v>1573</v>
      </c>
      <c r="M509" s="32">
        <v>25.4</v>
      </c>
      <c r="N509" s="33">
        <f t="shared" ref="N509:N572" si="26">I509/J509</f>
        <v>3.6525618215105339E-2</v>
      </c>
    </row>
    <row r="510" spans="1:34" x14ac:dyDescent="0.3">
      <c r="A510" s="27" t="s">
        <v>1253</v>
      </c>
      <c r="B510" s="27" t="s">
        <v>128</v>
      </c>
      <c r="C510" s="26" t="s">
        <v>1254</v>
      </c>
      <c r="D510" s="29">
        <v>36.200000000000003</v>
      </c>
      <c r="E510" s="29">
        <v>20.555</v>
      </c>
      <c r="F510" s="27">
        <v>2016</v>
      </c>
      <c r="G510" s="29">
        <v>13.6</v>
      </c>
      <c r="H510" s="28">
        <f t="shared" si="24"/>
        <v>37.569060773480665</v>
      </c>
      <c r="I510" s="30">
        <f t="shared" si="25"/>
        <v>56.781767955801108</v>
      </c>
      <c r="J510" s="31">
        <v>1555</v>
      </c>
      <c r="K510" s="31">
        <v>620</v>
      </c>
      <c r="L510" s="31">
        <v>1610</v>
      </c>
      <c r="M510" s="32">
        <v>13.4</v>
      </c>
      <c r="N510" s="33">
        <f t="shared" si="26"/>
        <v>3.6515606402444445E-2</v>
      </c>
      <c r="O510" s="9"/>
      <c r="Q510" s="4"/>
      <c r="S510" s="8"/>
      <c r="T510" s="8"/>
      <c r="U510" s="8"/>
      <c r="V510" s="4"/>
      <c r="W510" s="8"/>
      <c r="X510" s="8"/>
      <c r="Y510" s="8"/>
      <c r="Z510" s="8"/>
      <c r="AA510" s="8"/>
      <c r="AB510" s="4"/>
      <c r="AC510" s="8"/>
      <c r="AD510" s="8"/>
      <c r="AE510" s="8"/>
      <c r="AF510" s="8"/>
      <c r="AG510" s="8"/>
      <c r="AH510" s="4"/>
    </row>
    <row r="511" spans="1:34" x14ac:dyDescent="0.3">
      <c r="A511" s="27" t="s">
        <v>1205</v>
      </c>
      <c r="B511" s="27" t="s">
        <v>128</v>
      </c>
      <c r="C511" s="26" t="s">
        <v>1206</v>
      </c>
      <c r="D511" s="29">
        <v>16.899999999999999</v>
      </c>
      <c r="E511" s="29">
        <v>10.029500000000001</v>
      </c>
      <c r="F511" s="27">
        <v>2014</v>
      </c>
      <c r="G511" s="29">
        <v>6.8</v>
      </c>
      <c r="H511" s="28">
        <f t="shared" si="24"/>
        <v>40.236686390532547</v>
      </c>
      <c r="I511" s="30">
        <f t="shared" si="25"/>
        <v>59.346153846153847</v>
      </c>
      <c r="J511" s="31">
        <v>1636</v>
      </c>
      <c r="K511" s="31">
        <v>643</v>
      </c>
      <c r="L511" s="31">
        <v>1672</v>
      </c>
      <c r="M511" s="32">
        <v>15.1</v>
      </c>
      <c r="N511" s="33">
        <f t="shared" si="26"/>
        <v>3.6275155162685722E-2</v>
      </c>
    </row>
    <row r="512" spans="1:34" x14ac:dyDescent="0.3">
      <c r="A512" s="27" t="s">
        <v>1315</v>
      </c>
      <c r="B512" s="27" t="s">
        <v>2</v>
      </c>
      <c r="C512" s="26" t="s">
        <v>1316</v>
      </c>
      <c r="D512" s="29">
        <v>32.299999999999997</v>
      </c>
      <c r="E512" s="29">
        <v>15.956</v>
      </c>
      <c r="F512" s="27">
        <v>2015</v>
      </c>
      <c r="G512" s="29">
        <v>10</v>
      </c>
      <c r="H512" s="28">
        <f t="shared" si="24"/>
        <v>30.959752321981423</v>
      </c>
      <c r="I512" s="30">
        <f t="shared" si="25"/>
        <v>49.399380804953559</v>
      </c>
      <c r="J512" s="31">
        <v>1362</v>
      </c>
      <c r="K512" s="31">
        <v>563</v>
      </c>
      <c r="L512" s="31">
        <v>1413</v>
      </c>
      <c r="M512" s="32">
        <v>6.5</v>
      </c>
      <c r="N512" s="33">
        <f t="shared" si="26"/>
        <v>3.6269736273827867E-2</v>
      </c>
    </row>
    <row r="513" spans="1:34" x14ac:dyDescent="0.3">
      <c r="A513" s="27" t="s">
        <v>1213</v>
      </c>
      <c r="B513" s="27" t="s">
        <v>128</v>
      </c>
      <c r="C513" s="26" t="s">
        <v>1214</v>
      </c>
      <c r="D513" s="29">
        <v>67.8</v>
      </c>
      <c r="E513" s="29">
        <v>43.93</v>
      </c>
      <c r="F513" s="27">
        <v>2015</v>
      </c>
      <c r="G513" s="29">
        <v>27</v>
      </c>
      <c r="H513" s="28">
        <f t="shared" si="24"/>
        <v>39.823008849557525</v>
      </c>
      <c r="I513" s="30">
        <f t="shared" si="25"/>
        <v>64.793510324483776</v>
      </c>
      <c r="J513" s="31">
        <v>1787</v>
      </c>
      <c r="K513" s="31">
        <v>673</v>
      </c>
      <c r="L513" s="31">
        <v>1798</v>
      </c>
      <c r="M513" s="32">
        <v>19.100000000000001</v>
      </c>
      <c r="N513" s="33">
        <f t="shared" si="26"/>
        <v>3.6258259834629984E-2</v>
      </c>
    </row>
    <row r="514" spans="1:34" x14ac:dyDescent="0.3">
      <c r="A514" s="34" t="s">
        <v>206</v>
      </c>
      <c r="B514" s="16" t="s">
        <v>19</v>
      </c>
      <c r="C514" s="16" t="s">
        <v>207</v>
      </c>
      <c r="D514" s="35">
        <v>193</v>
      </c>
      <c r="E514" s="35">
        <v>150</v>
      </c>
      <c r="F514" s="16">
        <v>2016</v>
      </c>
      <c r="G514" s="36">
        <v>82.5</v>
      </c>
      <c r="H514" s="28">
        <f t="shared" si="24"/>
        <v>42.746113989637308</v>
      </c>
      <c r="I514" s="30">
        <f t="shared" si="25"/>
        <v>77.720207253886016</v>
      </c>
      <c r="J514" s="48">
        <v>2147</v>
      </c>
      <c r="K514" s="30">
        <v>497</v>
      </c>
      <c r="L514" s="30">
        <v>2680</v>
      </c>
      <c r="M514" s="31">
        <v>18.2</v>
      </c>
      <c r="N514" s="33">
        <f t="shared" si="26"/>
        <v>3.6199444459192369E-2</v>
      </c>
    </row>
    <row r="515" spans="1:34" x14ac:dyDescent="0.3">
      <c r="A515" s="27" t="s">
        <v>1197</v>
      </c>
      <c r="B515" s="27" t="s">
        <v>4</v>
      </c>
      <c r="C515" s="26" t="s">
        <v>1198</v>
      </c>
      <c r="D515" s="29">
        <v>490</v>
      </c>
      <c r="E515" s="29">
        <v>300</v>
      </c>
      <c r="F515" s="27">
        <v>2015</v>
      </c>
      <c r="G515" s="29">
        <v>200</v>
      </c>
      <c r="H515" s="28">
        <f t="shared" si="24"/>
        <v>40.816326530612244</v>
      </c>
      <c r="I515" s="30">
        <f t="shared" si="25"/>
        <v>61.224489795918366</v>
      </c>
      <c r="J515" s="31">
        <v>1692</v>
      </c>
      <c r="K515" s="31">
        <v>753</v>
      </c>
      <c r="L515" s="31">
        <v>1588</v>
      </c>
      <c r="M515" s="32">
        <v>8.5</v>
      </c>
      <c r="N515" s="33">
        <f t="shared" si="26"/>
        <v>3.6184686640613695E-2</v>
      </c>
    </row>
    <row r="516" spans="1:34" x14ac:dyDescent="0.3">
      <c r="A516" s="27" t="s">
        <v>1159</v>
      </c>
      <c r="B516" s="27" t="s">
        <v>9</v>
      </c>
      <c r="C516" s="26" t="s">
        <v>1160</v>
      </c>
      <c r="D516" s="29">
        <v>23.2</v>
      </c>
      <c r="E516" s="29">
        <v>16.399999999999999</v>
      </c>
      <c r="F516" s="27">
        <v>2015</v>
      </c>
      <c r="G516" s="29">
        <v>10</v>
      </c>
      <c r="H516" s="28">
        <f t="shared" si="24"/>
        <v>43.103448275862071</v>
      </c>
      <c r="I516" s="30">
        <f t="shared" si="25"/>
        <v>70.689655172413779</v>
      </c>
      <c r="J516" s="31">
        <v>1957</v>
      </c>
      <c r="K516" s="31">
        <v>965</v>
      </c>
      <c r="L516" s="31">
        <v>1338</v>
      </c>
      <c r="M516" s="32">
        <v>28.3</v>
      </c>
      <c r="N516" s="33">
        <f t="shared" si="26"/>
        <v>3.6121438514263554E-2</v>
      </c>
    </row>
    <row r="517" spans="1:34" x14ac:dyDescent="0.3">
      <c r="A517" s="27" t="s">
        <v>1269</v>
      </c>
      <c r="B517" s="27" t="s">
        <v>128</v>
      </c>
      <c r="C517" s="26" t="s">
        <v>1270</v>
      </c>
      <c r="D517" s="29">
        <v>380</v>
      </c>
      <c r="E517" s="29">
        <v>299.24200000000002</v>
      </c>
      <c r="F517" s="27">
        <v>2016</v>
      </c>
      <c r="G517" s="29">
        <v>137</v>
      </c>
      <c r="H517" s="28">
        <f t="shared" si="24"/>
        <v>36.05263157894737</v>
      </c>
      <c r="I517" s="30">
        <f t="shared" si="25"/>
        <v>78.747894736842099</v>
      </c>
      <c r="J517" s="31">
        <v>2186</v>
      </c>
      <c r="K517" s="31">
        <v>428</v>
      </c>
      <c r="L517" s="31">
        <v>2961</v>
      </c>
      <c r="M517" s="32">
        <v>17.8</v>
      </c>
      <c r="N517" s="33">
        <f t="shared" si="26"/>
        <v>3.602373958684451E-2</v>
      </c>
    </row>
    <row r="518" spans="1:34" x14ac:dyDescent="0.3">
      <c r="A518" s="34" t="s">
        <v>208</v>
      </c>
      <c r="B518" s="16" t="s">
        <v>4</v>
      </c>
      <c r="C518" s="16" t="s">
        <v>209</v>
      </c>
      <c r="D518" s="35">
        <v>211.8</v>
      </c>
      <c r="E518" s="35">
        <v>118</v>
      </c>
      <c r="F518" s="16">
        <v>2015</v>
      </c>
      <c r="G518" s="36">
        <v>90</v>
      </c>
      <c r="H518" s="28">
        <f t="shared" si="24"/>
        <v>42.492917847025495</v>
      </c>
      <c r="I518" s="30">
        <f t="shared" si="25"/>
        <v>55.712936732766764</v>
      </c>
      <c r="J518" s="48">
        <v>1547</v>
      </c>
      <c r="K518" s="30">
        <v>777</v>
      </c>
      <c r="L518" s="30">
        <v>1327</v>
      </c>
      <c r="M518" s="31">
        <v>8.9</v>
      </c>
      <c r="N518" s="33">
        <f t="shared" si="26"/>
        <v>3.6013533763908701E-2</v>
      </c>
    </row>
    <row r="519" spans="1:34" x14ac:dyDescent="0.3">
      <c r="A519" s="27" t="s">
        <v>735</v>
      </c>
      <c r="B519" s="27" t="s">
        <v>15</v>
      </c>
      <c r="C519" s="26" t="s">
        <v>736</v>
      </c>
      <c r="D519" s="29">
        <v>44</v>
      </c>
      <c r="E519" s="29">
        <v>35.634</v>
      </c>
      <c r="F519" s="27">
        <v>2017</v>
      </c>
      <c r="G519" s="29">
        <v>30</v>
      </c>
      <c r="H519" s="28">
        <f t="shared" si="24"/>
        <v>68.181818181818187</v>
      </c>
      <c r="I519" s="30">
        <f t="shared" si="25"/>
        <v>80.986363636363635</v>
      </c>
      <c r="J519" s="31">
        <v>2253</v>
      </c>
      <c r="K519" s="31">
        <v>605</v>
      </c>
      <c r="L519" s="31">
        <v>2552</v>
      </c>
      <c r="M519" s="32">
        <v>21.7</v>
      </c>
      <c r="N519" s="33">
        <f t="shared" si="26"/>
        <v>3.5946011378767705E-2</v>
      </c>
    </row>
    <row r="520" spans="1:34" x14ac:dyDescent="0.3">
      <c r="A520" s="27" t="s">
        <v>1211</v>
      </c>
      <c r="B520" s="27" t="s">
        <v>128</v>
      </c>
      <c r="C520" s="26" t="s">
        <v>1212</v>
      </c>
      <c r="D520" s="29">
        <v>530</v>
      </c>
      <c r="E520" s="29">
        <v>396.39</v>
      </c>
      <c r="F520" s="27">
        <v>2015</v>
      </c>
      <c r="G520" s="29">
        <v>212</v>
      </c>
      <c r="H520" s="28">
        <f t="shared" si="24"/>
        <v>40</v>
      </c>
      <c r="I520" s="30">
        <f t="shared" si="25"/>
        <v>74.790566037735843</v>
      </c>
      <c r="J520" s="31">
        <v>2081</v>
      </c>
      <c r="K520" s="31">
        <v>545</v>
      </c>
      <c r="L520" s="31">
        <v>2507</v>
      </c>
      <c r="M520" s="32">
        <v>20.2</v>
      </c>
      <c r="N520" s="33">
        <f t="shared" si="26"/>
        <v>3.5939724189205116E-2</v>
      </c>
    </row>
    <row r="521" spans="1:34" x14ac:dyDescent="0.3">
      <c r="A521" s="27" t="s">
        <v>896</v>
      </c>
      <c r="B521" s="27" t="s">
        <v>128</v>
      </c>
      <c r="C521" s="26" t="s">
        <v>897</v>
      </c>
      <c r="D521" s="29">
        <v>10.3</v>
      </c>
      <c r="E521" s="29">
        <v>5.4</v>
      </c>
      <c r="F521" s="27">
        <v>2015</v>
      </c>
      <c r="G521" s="29">
        <v>6</v>
      </c>
      <c r="H521" s="28">
        <f t="shared" si="24"/>
        <v>58.252427184466022</v>
      </c>
      <c r="I521" s="30">
        <f t="shared" si="25"/>
        <v>52.427184466019419</v>
      </c>
      <c r="J521" s="31">
        <v>1466</v>
      </c>
      <c r="K521" s="31">
        <v>578</v>
      </c>
      <c r="L521" s="31">
        <v>1580</v>
      </c>
      <c r="M521" s="32">
        <v>10.3</v>
      </c>
      <c r="N521" s="33">
        <f t="shared" si="26"/>
        <v>3.5762063073683098E-2</v>
      </c>
      <c r="O521" s="9"/>
      <c r="P521" s="10"/>
      <c r="Q521" s="4"/>
      <c r="S521" s="8"/>
      <c r="T521" s="8"/>
      <c r="U521" s="8"/>
      <c r="V521" s="4"/>
      <c r="W521" s="8"/>
      <c r="X521" s="8"/>
      <c r="Y521" s="8"/>
      <c r="Z521" s="8"/>
      <c r="AA521" s="8"/>
      <c r="AB521" s="4"/>
      <c r="AC521" s="8"/>
      <c r="AD521" s="8"/>
      <c r="AE521" s="8"/>
      <c r="AF521" s="8"/>
      <c r="AG521" s="8"/>
      <c r="AH521" s="4"/>
    </row>
    <row r="522" spans="1:34" x14ac:dyDescent="0.3">
      <c r="A522" s="42" t="s">
        <v>286</v>
      </c>
      <c r="B522" s="17" t="s">
        <v>128</v>
      </c>
      <c r="C522" s="17" t="s">
        <v>287</v>
      </c>
      <c r="D522" s="43">
        <v>9.6000003814697301</v>
      </c>
      <c r="E522" s="43">
        <v>5.7611117362976101</v>
      </c>
      <c r="F522" s="17">
        <v>2015</v>
      </c>
      <c r="G522" s="36">
        <v>5</v>
      </c>
      <c r="H522" s="28">
        <f t="shared" si="24"/>
        <v>52.083331263727679</v>
      </c>
      <c r="I522" s="30">
        <f t="shared" si="25"/>
        <v>60.011578201787557</v>
      </c>
      <c r="J522" s="31">
        <v>1681</v>
      </c>
      <c r="K522" s="30">
        <v>659</v>
      </c>
      <c r="L522" s="30">
        <v>1703</v>
      </c>
      <c r="M522" s="41">
        <v>16.5</v>
      </c>
      <c r="N522" s="33">
        <f t="shared" si="26"/>
        <v>3.5699927544192482E-2</v>
      </c>
    </row>
    <row r="523" spans="1:34" x14ac:dyDescent="0.3">
      <c r="A523" s="42" t="s">
        <v>320</v>
      </c>
      <c r="B523" s="17" t="s">
        <v>128</v>
      </c>
      <c r="C523" s="17" t="s">
        <v>321</v>
      </c>
      <c r="D523" s="43">
        <v>12</v>
      </c>
      <c r="E523" s="43">
        <v>7</v>
      </c>
      <c r="F523" s="17">
        <v>2016</v>
      </c>
      <c r="G523" s="36">
        <v>4</v>
      </c>
      <c r="H523" s="28">
        <f t="shared" si="24"/>
        <v>33.333333333333336</v>
      </c>
      <c r="I523" s="30">
        <f t="shared" si="25"/>
        <v>58.333333333333336</v>
      </c>
      <c r="J523" s="31">
        <v>1640</v>
      </c>
      <c r="K523" s="30">
        <v>642</v>
      </c>
      <c r="L523" s="30">
        <v>1683</v>
      </c>
      <c r="M523" s="41">
        <v>15.2</v>
      </c>
      <c r="N523" s="33">
        <f t="shared" si="26"/>
        <v>3.556910569105691E-2</v>
      </c>
    </row>
    <row r="524" spans="1:34" x14ac:dyDescent="0.3">
      <c r="A524" s="42" t="s">
        <v>264</v>
      </c>
      <c r="B524" s="17" t="s">
        <v>128</v>
      </c>
      <c r="C524" s="17" t="s">
        <v>265</v>
      </c>
      <c r="D524" s="43">
        <v>60.200000762939503</v>
      </c>
      <c r="E524" s="43">
        <v>45</v>
      </c>
      <c r="F524" s="17">
        <v>2014</v>
      </c>
      <c r="G524" s="36">
        <v>24</v>
      </c>
      <c r="H524" s="28">
        <f t="shared" si="24"/>
        <v>39.867109129299131</v>
      </c>
      <c r="I524" s="30">
        <f t="shared" si="25"/>
        <v>74.750829617435869</v>
      </c>
      <c r="J524" s="31">
        <v>2104</v>
      </c>
      <c r="K524" s="30">
        <v>463</v>
      </c>
      <c r="L524" s="30">
        <v>2771</v>
      </c>
      <c r="M524" s="41">
        <v>17.399999999999999</v>
      </c>
      <c r="N524" s="33">
        <f t="shared" si="26"/>
        <v>3.552796084478891E-2</v>
      </c>
    </row>
    <row r="525" spans="1:34" x14ac:dyDescent="0.3">
      <c r="A525" s="34" t="s">
        <v>210</v>
      </c>
      <c r="B525" s="16" t="s">
        <v>4</v>
      </c>
      <c r="C525" s="16" t="s">
        <v>211</v>
      </c>
      <c r="D525" s="35">
        <v>107.2</v>
      </c>
      <c r="E525" s="35">
        <v>61.45</v>
      </c>
      <c r="F525" s="16">
        <v>2014</v>
      </c>
      <c r="G525" s="36">
        <v>40</v>
      </c>
      <c r="H525" s="28">
        <f t="shared" si="24"/>
        <v>37.313432835820898</v>
      </c>
      <c r="I525" s="30">
        <f t="shared" si="25"/>
        <v>57.322761194029852</v>
      </c>
      <c r="J525" s="48">
        <v>1614</v>
      </c>
      <c r="K525" s="30">
        <v>675</v>
      </c>
      <c r="L525" s="30">
        <v>1720</v>
      </c>
      <c r="M525" s="31">
        <v>3.9</v>
      </c>
      <c r="N525" s="33">
        <f t="shared" si="26"/>
        <v>3.5515961086759515E-2</v>
      </c>
    </row>
    <row r="526" spans="1:34" ht="28.8" x14ac:dyDescent="0.3">
      <c r="A526" s="34" t="s">
        <v>34</v>
      </c>
      <c r="B526" s="16" t="s">
        <v>31</v>
      </c>
      <c r="C526" s="16" t="s">
        <v>223</v>
      </c>
      <c r="D526" s="35">
        <v>969.99999999999989</v>
      </c>
      <c r="E526" s="35">
        <v>740</v>
      </c>
      <c r="F526" s="16">
        <v>2014</v>
      </c>
      <c r="G526" s="36">
        <v>290</v>
      </c>
      <c r="H526" s="28">
        <f t="shared" si="24"/>
        <v>29.896907216494853</v>
      </c>
      <c r="I526" s="30">
        <f t="shared" si="25"/>
        <v>76.288659793814446</v>
      </c>
      <c r="J526" s="51">
        <v>2156</v>
      </c>
      <c r="K526" s="30">
        <v>489</v>
      </c>
      <c r="L526" s="30">
        <v>2737</v>
      </c>
      <c r="M526" s="31">
        <v>23.8</v>
      </c>
      <c r="N526" s="33">
        <f t="shared" si="26"/>
        <v>3.5384350553717275E-2</v>
      </c>
      <c r="O526" s="9"/>
      <c r="P526" s="10"/>
      <c r="Q526" s="4"/>
      <c r="S526" s="8"/>
      <c r="T526" s="8"/>
      <c r="U526" s="8"/>
      <c r="V526" s="4"/>
      <c r="W526" s="8"/>
      <c r="X526" s="8"/>
      <c r="Y526" s="8"/>
      <c r="Z526" s="8"/>
      <c r="AA526" s="8"/>
      <c r="AB526" s="4"/>
      <c r="AC526" s="8"/>
      <c r="AD526" s="8"/>
      <c r="AE526" s="8"/>
      <c r="AF526" s="8"/>
      <c r="AG526" s="8"/>
      <c r="AH526" s="4"/>
    </row>
    <row r="527" spans="1:34" x14ac:dyDescent="0.3">
      <c r="A527" s="27" t="s">
        <v>1229</v>
      </c>
      <c r="B527" s="27" t="s">
        <v>9</v>
      </c>
      <c r="C527" s="26" t="s">
        <v>1230</v>
      </c>
      <c r="D527" s="29">
        <v>25.7</v>
      </c>
      <c r="E527" s="29">
        <v>18</v>
      </c>
      <c r="F527" s="27">
        <v>2014</v>
      </c>
      <c r="G527" s="29">
        <v>10.061999999999999</v>
      </c>
      <c r="H527" s="28">
        <f t="shared" si="24"/>
        <v>39.151750972762649</v>
      </c>
      <c r="I527" s="30">
        <f t="shared" si="25"/>
        <v>70.038910505836583</v>
      </c>
      <c r="J527" s="31">
        <v>1981</v>
      </c>
      <c r="K527" s="31">
        <v>929</v>
      </c>
      <c r="L527" s="31">
        <v>1490</v>
      </c>
      <c r="M527" s="32">
        <v>26.1</v>
      </c>
      <c r="N527" s="33">
        <f t="shared" si="26"/>
        <v>3.5355330896434417E-2</v>
      </c>
    </row>
    <row r="528" spans="1:34" x14ac:dyDescent="0.3">
      <c r="A528" s="27" t="s">
        <v>1179</v>
      </c>
      <c r="B528" s="27" t="s">
        <v>128</v>
      </c>
      <c r="C528" s="26" t="s">
        <v>1180</v>
      </c>
      <c r="D528" s="29">
        <v>53.5</v>
      </c>
      <c r="E528" s="29">
        <v>41.2</v>
      </c>
      <c r="F528" s="27">
        <v>2015</v>
      </c>
      <c r="G528" s="29">
        <v>22.5</v>
      </c>
      <c r="H528" s="28">
        <f t="shared" si="24"/>
        <v>42.056074766355138</v>
      </c>
      <c r="I528" s="30">
        <f t="shared" si="25"/>
        <v>77.00934579439253</v>
      </c>
      <c r="J528" s="31">
        <v>2181</v>
      </c>
      <c r="K528" s="31">
        <v>423</v>
      </c>
      <c r="L528" s="31">
        <v>2953</v>
      </c>
      <c r="M528" s="32">
        <v>16.2</v>
      </c>
      <c r="N528" s="33">
        <f t="shared" si="26"/>
        <v>3.5309191102426654E-2</v>
      </c>
    </row>
    <row r="529" spans="1:34" x14ac:dyDescent="0.3">
      <c r="A529" s="42" t="s">
        <v>376</v>
      </c>
      <c r="B529" s="17" t="s">
        <v>128</v>
      </c>
      <c r="C529" s="17" t="s">
        <v>377</v>
      </c>
      <c r="D529" s="43">
        <v>15</v>
      </c>
      <c r="E529" s="43">
        <v>7.8351116180419904</v>
      </c>
      <c r="F529" s="17">
        <v>2018</v>
      </c>
      <c r="G529" s="36">
        <v>6.8000001907348597</v>
      </c>
      <c r="H529" s="28">
        <f t="shared" si="24"/>
        <v>45.333334604899065</v>
      </c>
      <c r="I529" s="30">
        <f t="shared" si="25"/>
        <v>52.234077453613267</v>
      </c>
      <c r="J529" s="31">
        <v>1492</v>
      </c>
      <c r="K529" s="30">
        <v>622</v>
      </c>
      <c r="L529" s="30">
        <v>1516</v>
      </c>
      <c r="M529" s="41">
        <v>11.7</v>
      </c>
      <c r="N529" s="33">
        <f t="shared" si="26"/>
        <v>3.5009435290625515E-2</v>
      </c>
    </row>
    <row r="530" spans="1:34" x14ac:dyDescent="0.3">
      <c r="A530" s="27" t="s">
        <v>1275</v>
      </c>
      <c r="B530" s="27" t="s">
        <v>128</v>
      </c>
      <c r="C530" s="26" t="s">
        <v>1276</v>
      </c>
      <c r="D530" s="29">
        <v>36.799999999999997</v>
      </c>
      <c r="E530" s="29">
        <v>27.853999999999999</v>
      </c>
      <c r="F530" s="27">
        <v>2014</v>
      </c>
      <c r="G530" s="29">
        <v>13.05</v>
      </c>
      <c r="H530" s="28">
        <f t="shared" si="24"/>
        <v>35.461956521739133</v>
      </c>
      <c r="I530" s="30">
        <f t="shared" si="25"/>
        <v>75.690217391304344</v>
      </c>
      <c r="J530" s="31">
        <v>2167</v>
      </c>
      <c r="K530" s="31">
        <v>484</v>
      </c>
      <c r="L530" s="31">
        <v>2784</v>
      </c>
      <c r="M530" s="32">
        <v>18</v>
      </c>
      <c r="N530" s="33">
        <f t="shared" si="26"/>
        <v>3.4928572861700202E-2</v>
      </c>
    </row>
    <row r="531" spans="1:34" x14ac:dyDescent="0.3">
      <c r="A531" s="42" t="s">
        <v>304</v>
      </c>
      <c r="B531" s="17" t="s">
        <v>4</v>
      </c>
      <c r="C531" s="17" t="s">
        <v>305</v>
      </c>
      <c r="D531" s="43">
        <v>58.599998474121101</v>
      </c>
      <c r="E531" s="43">
        <v>33.799999237060497</v>
      </c>
      <c r="F531" s="17">
        <v>2014</v>
      </c>
      <c r="G531" s="36">
        <v>20</v>
      </c>
      <c r="H531" s="28">
        <f t="shared" si="24"/>
        <v>34.129693721463809</v>
      </c>
      <c r="I531" s="30">
        <f t="shared" si="25"/>
        <v>57.679181087329262</v>
      </c>
      <c r="J531" s="31">
        <v>1655</v>
      </c>
      <c r="K531" s="30">
        <v>611</v>
      </c>
      <c r="L531" s="30">
        <v>1861</v>
      </c>
      <c r="M531" s="41">
        <v>7.8</v>
      </c>
      <c r="N531" s="33">
        <f t="shared" si="26"/>
        <v>3.4851468934942155E-2</v>
      </c>
    </row>
    <row r="532" spans="1:34" x14ac:dyDescent="0.3">
      <c r="A532" s="27" t="s">
        <v>1287</v>
      </c>
      <c r="B532" s="27" t="s">
        <v>128</v>
      </c>
      <c r="C532" s="26" t="s">
        <v>1288</v>
      </c>
      <c r="D532" s="29">
        <v>550</v>
      </c>
      <c r="E532" s="29">
        <v>417.61799999999999</v>
      </c>
      <c r="F532" s="27">
        <v>2016</v>
      </c>
      <c r="G532" s="29">
        <v>191</v>
      </c>
      <c r="H532" s="28">
        <f t="shared" si="24"/>
        <v>34.727272727272727</v>
      </c>
      <c r="I532" s="30">
        <f t="shared" si="25"/>
        <v>75.930545454545452</v>
      </c>
      <c r="J532" s="31">
        <v>2185</v>
      </c>
      <c r="K532" s="31">
        <v>429</v>
      </c>
      <c r="L532" s="31">
        <v>2963</v>
      </c>
      <c r="M532" s="32">
        <v>17.7</v>
      </c>
      <c r="N532" s="33">
        <f t="shared" si="26"/>
        <v>3.475082171832744E-2</v>
      </c>
    </row>
    <row r="533" spans="1:34" x14ac:dyDescent="0.3">
      <c r="A533" s="27" t="s">
        <v>1297</v>
      </c>
      <c r="B533" s="27" t="s">
        <v>128</v>
      </c>
      <c r="C533" s="26" t="s">
        <v>1298</v>
      </c>
      <c r="D533" s="29">
        <v>49.8</v>
      </c>
      <c r="E533" s="29">
        <v>35.03</v>
      </c>
      <c r="F533" s="27">
        <v>2015</v>
      </c>
      <c r="G533" s="29">
        <v>16.399999999999999</v>
      </c>
      <c r="H533" s="28">
        <f t="shared" si="24"/>
        <v>32.931726907630519</v>
      </c>
      <c r="I533" s="30">
        <f t="shared" si="25"/>
        <v>70.341365461847388</v>
      </c>
      <c r="J533" s="31">
        <v>2027</v>
      </c>
      <c r="K533" s="31">
        <v>489</v>
      </c>
      <c r="L533" s="31">
        <v>2510</v>
      </c>
      <c r="M533" s="32">
        <v>19.2</v>
      </c>
      <c r="N533" s="33">
        <f t="shared" si="26"/>
        <v>3.4702202990551254E-2</v>
      </c>
      <c r="O533" s="54"/>
      <c r="P533" s="54"/>
      <c r="Q533" s="54"/>
      <c r="S533" s="54"/>
      <c r="T533" s="54"/>
      <c r="U533" s="54"/>
      <c r="V533" s="54"/>
      <c r="W533" s="54"/>
      <c r="X533" s="54"/>
      <c r="Y533" s="54"/>
      <c r="Z533" s="54"/>
      <c r="AA533" s="54"/>
      <c r="AB533" s="54"/>
      <c r="AC533" s="54"/>
      <c r="AD533" s="54"/>
      <c r="AE533" s="54"/>
      <c r="AF533" s="54"/>
      <c r="AG533" s="54"/>
      <c r="AH533" s="54"/>
    </row>
    <row r="534" spans="1:34" ht="28.8" x14ac:dyDescent="0.3">
      <c r="A534" s="34" t="s">
        <v>40</v>
      </c>
      <c r="B534" s="16" t="s">
        <v>31</v>
      </c>
      <c r="C534" s="16" t="s">
        <v>212</v>
      </c>
      <c r="D534" s="35">
        <v>1590</v>
      </c>
      <c r="E534" s="35">
        <v>1197</v>
      </c>
      <c r="F534" s="18">
        <v>2018</v>
      </c>
      <c r="G534" s="36">
        <v>460</v>
      </c>
      <c r="H534" s="28">
        <f t="shared" si="24"/>
        <v>28.930817610062892</v>
      </c>
      <c r="I534" s="30">
        <f t="shared" si="25"/>
        <v>75.283018867924525</v>
      </c>
      <c r="J534" s="51">
        <v>2171</v>
      </c>
      <c r="K534" s="30">
        <v>484</v>
      </c>
      <c r="L534" s="30">
        <v>2759</v>
      </c>
      <c r="M534" s="31">
        <v>24.1</v>
      </c>
      <c r="N534" s="33">
        <f t="shared" si="26"/>
        <v>3.4676655397477905E-2</v>
      </c>
      <c r="Y534" s="54"/>
      <c r="Z534" s="54"/>
    </row>
    <row r="535" spans="1:34" x14ac:dyDescent="0.3">
      <c r="A535" s="27" t="s">
        <v>1283</v>
      </c>
      <c r="B535" s="27" t="s">
        <v>128</v>
      </c>
      <c r="C535" s="26" t="s">
        <v>1284</v>
      </c>
      <c r="D535" s="29">
        <v>381.7</v>
      </c>
      <c r="E535" s="29">
        <v>264.83300000000003</v>
      </c>
      <c r="F535" s="27">
        <v>2016</v>
      </c>
      <c r="G535" s="29">
        <v>134</v>
      </c>
      <c r="H535" s="28">
        <f t="shared" si="24"/>
        <v>35.1061042703694</v>
      </c>
      <c r="I535" s="30">
        <f t="shared" si="25"/>
        <v>69.38249934503537</v>
      </c>
      <c r="J535" s="31">
        <v>2004</v>
      </c>
      <c r="K535" s="31">
        <v>486</v>
      </c>
      <c r="L535" s="31">
        <v>2500</v>
      </c>
      <c r="M535" s="32">
        <v>19.600000000000001</v>
      </c>
      <c r="N535" s="33">
        <f t="shared" si="26"/>
        <v>3.4622005661195297E-2</v>
      </c>
      <c r="O535" s="9"/>
      <c r="P535" s="54"/>
      <c r="Q535" s="4"/>
      <c r="S535" s="8"/>
      <c r="T535" s="8"/>
      <c r="U535" s="8"/>
      <c r="V535" s="4"/>
      <c r="W535" s="8"/>
      <c r="X535" s="8"/>
      <c r="Y535" s="8"/>
      <c r="Z535" s="8"/>
      <c r="AA535" s="8"/>
      <c r="AB535" s="4"/>
      <c r="AC535" s="8"/>
      <c r="AD535" s="8"/>
      <c r="AE535" s="8"/>
      <c r="AF535" s="8"/>
      <c r="AG535" s="8"/>
      <c r="AH535" s="4"/>
    </row>
    <row r="536" spans="1:34" x14ac:dyDescent="0.3">
      <c r="A536" s="27" t="s">
        <v>1243</v>
      </c>
      <c r="B536" s="27" t="s">
        <v>11</v>
      </c>
      <c r="C536" s="26" t="s">
        <v>1244</v>
      </c>
      <c r="D536" s="29">
        <v>21</v>
      </c>
      <c r="E536" s="29">
        <v>9.8590900000000001</v>
      </c>
      <c r="F536" s="27">
        <v>2015</v>
      </c>
      <c r="G536" s="29">
        <v>8</v>
      </c>
      <c r="H536" s="28">
        <f t="shared" si="24"/>
        <v>38.095238095238095</v>
      </c>
      <c r="I536" s="30">
        <f t="shared" si="25"/>
        <v>46.948047619047621</v>
      </c>
      <c r="J536" s="31">
        <v>1358</v>
      </c>
      <c r="K536" s="31">
        <v>706</v>
      </c>
      <c r="L536" s="31">
        <v>1106</v>
      </c>
      <c r="M536" s="32">
        <v>10.9</v>
      </c>
      <c r="N536" s="33">
        <f t="shared" si="26"/>
        <v>3.4571463637001192E-2</v>
      </c>
    </row>
    <row r="537" spans="1:34" x14ac:dyDescent="0.3">
      <c r="A537" s="42" t="s">
        <v>368</v>
      </c>
      <c r="B537" s="17" t="s">
        <v>4</v>
      </c>
      <c r="C537" s="17" t="s">
        <v>369</v>
      </c>
      <c r="D537" s="43">
        <v>49.099998474121101</v>
      </c>
      <c r="E537" s="43">
        <v>25.440000534057599</v>
      </c>
      <c r="F537" s="17">
        <v>2015</v>
      </c>
      <c r="G537" s="36">
        <v>20</v>
      </c>
      <c r="H537" s="28">
        <f t="shared" si="24"/>
        <v>40.733198821872271</v>
      </c>
      <c r="I537" s="30">
        <f t="shared" si="25"/>
        <v>51.812629989115251</v>
      </c>
      <c r="J537" s="31">
        <v>1501</v>
      </c>
      <c r="K537" s="30">
        <v>853</v>
      </c>
      <c r="L537" s="30">
        <v>1029</v>
      </c>
      <c r="M537" s="41">
        <v>13.8</v>
      </c>
      <c r="N537" s="33">
        <f t="shared" si="26"/>
        <v>3.4518740832188706E-2</v>
      </c>
      <c r="O537" s="9"/>
      <c r="Q537" s="4"/>
      <c r="S537" s="8"/>
      <c r="T537" s="8"/>
      <c r="U537" s="8"/>
      <c r="V537" s="4"/>
      <c r="W537" s="8"/>
      <c r="X537" s="8"/>
      <c r="Y537" s="8"/>
      <c r="Z537" s="8"/>
      <c r="AA537" s="8"/>
      <c r="AB537" s="4"/>
      <c r="AC537" s="8"/>
      <c r="AD537" s="8"/>
      <c r="AE537" s="8"/>
      <c r="AF537" s="8"/>
      <c r="AG537" s="8"/>
      <c r="AH537" s="4"/>
    </row>
    <row r="538" spans="1:34" x14ac:dyDescent="0.3">
      <c r="A538" s="27" t="s">
        <v>665</v>
      </c>
      <c r="B538" s="27" t="s">
        <v>128</v>
      </c>
      <c r="C538" s="26" t="s">
        <v>666</v>
      </c>
      <c r="D538" s="29">
        <v>9.6</v>
      </c>
      <c r="E538" s="29">
        <v>5.5306670000000002</v>
      </c>
      <c r="F538" s="27">
        <v>2015</v>
      </c>
      <c r="G538" s="29">
        <v>7.0384000000000002</v>
      </c>
      <c r="H538" s="28">
        <f t="shared" si="24"/>
        <v>73.316666666666663</v>
      </c>
      <c r="I538" s="30">
        <f t="shared" si="25"/>
        <v>57.611114583333332</v>
      </c>
      <c r="J538" s="31">
        <v>1671</v>
      </c>
      <c r="K538" s="31">
        <v>658</v>
      </c>
      <c r="L538" s="31">
        <v>1688</v>
      </c>
      <c r="M538" s="32">
        <v>16.2</v>
      </c>
      <c r="N538" s="33">
        <f t="shared" si="26"/>
        <v>3.4477028475962498E-2</v>
      </c>
    </row>
    <row r="539" spans="1:34" x14ac:dyDescent="0.3">
      <c r="A539" s="27" t="s">
        <v>759</v>
      </c>
      <c r="B539" s="27" t="s">
        <v>128</v>
      </c>
      <c r="C539" s="26" t="s">
        <v>760</v>
      </c>
      <c r="D539" s="29">
        <v>10.6</v>
      </c>
      <c r="E539" s="29">
        <v>6.1067780000000003</v>
      </c>
      <c r="F539" s="27">
        <v>2015</v>
      </c>
      <c r="G539" s="29">
        <v>7.0679999999999996</v>
      </c>
      <c r="H539" s="28">
        <f t="shared" si="24"/>
        <v>66.679245283018872</v>
      </c>
      <c r="I539" s="30">
        <f t="shared" si="25"/>
        <v>57.61111320754717</v>
      </c>
      <c r="J539" s="31">
        <v>1671</v>
      </c>
      <c r="K539" s="31">
        <v>652</v>
      </c>
      <c r="L539" s="31">
        <v>1700</v>
      </c>
      <c r="M539" s="32">
        <v>15.6</v>
      </c>
      <c r="N539" s="33">
        <f t="shared" si="26"/>
        <v>3.4477027652631463E-2</v>
      </c>
    </row>
    <row r="540" spans="1:34" x14ac:dyDescent="0.3">
      <c r="A540" s="34" t="s">
        <v>213</v>
      </c>
      <c r="B540" s="16" t="s">
        <v>20</v>
      </c>
      <c r="C540" s="16" t="s">
        <v>214</v>
      </c>
      <c r="D540" s="35">
        <v>22.3</v>
      </c>
      <c r="E540" s="35">
        <v>14.75</v>
      </c>
      <c r="F540" s="16">
        <v>2014</v>
      </c>
      <c r="G540" s="36">
        <v>10.5</v>
      </c>
      <c r="H540" s="28">
        <f t="shared" si="24"/>
        <v>47.085201793721971</v>
      </c>
      <c r="I540" s="30">
        <f t="shared" si="25"/>
        <v>66.143497757847527</v>
      </c>
      <c r="J540" s="48">
        <v>1921</v>
      </c>
      <c r="K540" s="30">
        <v>920</v>
      </c>
      <c r="L540" s="30">
        <v>1382</v>
      </c>
      <c r="M540" s="31">
        <v>26.8</v>
      </c>
      <c r="N540" s="33">
        <f t="shared" si="26"/>
        <v>3.4431805183679089E-2</v>
      </c>
    </row>
    <row r="541" spans="1:34" x14ac:dyDescent="0.3">
      <c r="A541" s="27" t="s">
        <v>1305</v>
      </c>
      <c r="B541" s="27" t="s">
        <v>128</v>
      </c>
      <c r="C541" s="26" t="s">
        <v>1306</v>
      </c>
      <c r="D541" s="29">
        <v>35.799999999999997</v>
      </c>
      <c r="E541" s="29">
        <v>26.890499999999999</v>
      </c>
      <c r="F541" s="27">
        <v>2015</v>
      </c>
      <c r="G541" s="29">
        <v>11.5</v>
      </c>
      <c r="H541" s="28">
        <f t="shared" si="24"/>
        <v>32.122905027932958</v>
      </c>
      <c r="I541" s="30">
        <f t="shared" si="25"/>
        <v>75.113128491620117</v>
      </c>
      <c r="J541" s="31">
        <v>2191</v>
      </c>
      <c r="K541" s="31">
        <v>432</v>
      </c>
      <c r="L541" s="31">
        <v>2950</v>
      </c>
      <c r="M541" s="32">
        <v>16.100000000000001</v>
      </c>
      <c r="N541" s="33">
        <f t="shared" si="26"/>
        <v>3.4282578042729397E-2</v>
      </c>
      <c r="O541" s="5"/>
      <c r="P541" s="10"/>
      <c r="V541" s="4"/>
    </row>
    <row r="542" spans="1:34" x14ac:dyDescent="0.3">
      <c r="A542" s="27" t="s">
        <v>1279</v>
      </c>
      <c r="B542" s="27" t="s">
        <v>128</v>
      </c>
      <c r="C542" s="26" t="s">
        <v>1280</v>
      </c>
      <c r="D542" s="29">
        <v>73.8</v>
      </c>
      <c r="E542" s="29">
        <v>50.804000000000002</v>
      </c>
      <c r="F542" s="27">
        <v>2016</v>
      </c>
      <c r="G542" s="29">
        <v>26</v>
      </c>
      <c r="H542" s="28">
        <f t="shared" si="24"/>
        <v>35.230352303523034</v>
      </c>
      <c r="I542" s="30">
        <f t="shared" si="25"/>
        <v>68.840108401084009</v>
      </c>
      <c r="J542" s="31">
        <v>2014</v>
      </c>
      <c r="K542" s="31">
        <v>493</v>
      </c>
      <c r="L542" s="31">
        <v>2492</v>
      </c>
      <c r="M542" s="32">
        <v>17.899999999999999</v>
      </c>
      <c r="N542" s="33">
        <f t="shared" si="26"/>
        <v>3.4180788679783518E-2</v>
      </c>
    </row>
    <row r="543" spans="1:34" x14ac:dyDescent="0.3">
      <c r="A543" s="27" t="s">
        <v>1137</v>
      </c>
      <c r="B543" s="27" t="s">
        <v>128</v>
      </c>
      <c r="C543" s="26" t="s">
        <v>1138</v>
      </c>
      <c r="D543" s="29">
        <v>10.8</v>
      </c>
      <c r="E543" s="29">
        <v>4.9809999999999999</v>
      </c>
      <c r="F543" s="27">
        <v>2017</v>
      </c>
      <c r="G543" s="29">
        <v>4.8</v>
      </c>
      <c r="H543" s="28">
        <f t="shared" si="24"/>
        <v>44.444444444444443</v>
      </c>
      <c r="I543" s="30">
        <f t="shared" si="25"/>
        <v>46.120370370370374</v>
      </c>
      <c r="J543" s="31">
        <v>1352</v>
      </c>
      <c r="K543" s="31">
        <v>553</v>
      </c>
      <c r="L543" s="31">
        <v>1492</v>
      </c>
      <c r="M543" s="32">
        <v>5.6</v>
      </c>
      <c r="N543" s="33">
        <f t="shared" si="26"/>
        <v>3.4112699978084596E-2</v>
      </c>
    </row>
    <row r="544" spans="1:34" x14ac:dyDescent="0.3">
      <c r="A544" s="27" t="s">
        <v>1303</v>
      </c>
      <c r="B544" s="27" t="s">
        <v>128</v>
      </c>
      <c r="C544" s="26" t="s">
        <v>1304</v>
      </c>
      <c r="D544" s="29">
        <v>240</v>
      </c>
      <c r="E544" s="29">
        <v>177.96899999999999</v>
      </c>
      <c r="F544" s="27">
        <v>2016</v>
      </c>
      <c r="G544" s="29">
        <v>78</v>
      </c>
      <c r="H544" s="28">
        <f t="shared" si="24"/>
        <v>32.5</v>
      </c>
      <c r="I544" s="30">
        <f t="shared" si="25"/>
        <v>74.153750000000002</v>
      </c>
      <c r="J544" s="31">
        <v>2185</v>
      </c>
      <c r="K544" s="31">
        <v>423</v>
      </c>
      <c r="L544" s="31">
        <v>2973</v>
      </c>
      <c r="M544" s="32">
        <v>17</v>
      </c>
      <c r="N544" s="33">
        <f t="shared" si="26"/>
        <v>3.3937643020594967E-2</v>
      </c>
    </row>
    <row r="545" spans="1:34" x14ac:dyDescent="0.3">
      <c r="A545" s="34" t="s">
        <v>215</v>
      </c>
      <c r="B545" s="16" t="s">
        <v>12</v>
      </c>
      <c r="C545" s="16" t="s">
        <v>216</v>
      </c>
      <c r="D545" s="35">
        <v>65.900000000000006</v>
      </c>
      <c r="E545" s="35">
        <v>47</v>
      </c>
      <c r="F545" s="16">
        <v>2016</v>
      </c>
      <c r="G545" s="36">
        <v>24</v>
      </c>
      <c r="H545" s="28">
        <f t="shared" si="24"/>
        <v>36.418816388467377</v>
      </c>
      <c r="I545" s="30">
        <f t="shared" si="25"/>
        <v>71.320182094081943</v>
      </c>
      <c r="J545" s="48">
        <v>2111</v>
      </c>
      <c r="K545" s="30">
        <v>579</v>
      </c>
      <c r="L545" s="30">
        <v>2443</v>
      </c>
      <c r="M545" s="31">
        <v>17.5</v>
      </c>
      <c r="N545" s="33">
        <f t="shared" si="26"/>
        <v>3.3785022308897177E-2</v>
      </c>
      <c r="O545" s="54"/>
      <c r="P545" s="54"/>
      <c r="Q545" s="54"/>
      <c r="S545" s="54"/>
      <c r="T545" s="54"/>
      <c r="U545" s="54"/>
      <c r="V545" s="54"/>
      <c r="W545" s="54"/>
      <c r="X545" s="54"/>
      <c r="Y545" s="54"/>
      <c r="Z545" s="54"/>
      <c r="AA545" s="54"/>
      <c r="AB545" s="54"/>
      <c r="AC545" s="54"/>
      <c r="AD545" s="54"/>
      <c r="AE545" s="54"/>
      <c r="AF545" s="54"/>
      <c r="AG545" s="54"/>
      <c r="AH545" s="54"/>
    </row>
    <row r="546" spans="1:34" x14ac:dyDescent="0.3">
      <c r="A546" s="27" t="s">
        <v>1331</v>
      </c>
      <c r="B546" s="27" t="s">
        <v>128</v>
      </c>
      <c r="C546" s="26" t="s">
        <v>1332</v>
      </c>
      <c r="D546" s="29">
        <v>42</v>
      </c>
      <c r="E546" s="29">
        <v>29</v>
      </c>
      <c r="F546" s="27">
        <v>2015</v>
      </c>
      <c r="G546" s="29">
        <v>12.45</v>
      </c>
      <c r="H546" s="28">
        <f t="shared" si="24"/>
        <v>29.642857142857142</v>
      </c>
      <c r="I546" s="30">
        <f t="shared" si="25"/>
        <v>69.047619047619051</v>
      </c>
      <c r="J546" s="31">
        <v>2049</v>
      </c>
      <c r="K546" s="31">
        <v>471</v>
      </c>
      <c r="L546" s="31">
        <v>2668</v>
      </c>
      <c r="M546" s="32">
        <v>13.7</v>
      </c>
      <c r="N546" s="33">
        <f t="shared" si="26"/>
        <v>3.3698203537149363E-2</v>
      </c>
    </row>
    <row r="547" spans="1:34" x14ac:dyDescent="0.3">
      <c r="A547" s="27" t="s">
        <v>1171</v>
      </c>
      <c r="B547" s="27" t="s">
        <v>20</v>
      </c>
      <c r="C547" s="26" t="s">
        <v>1172</v>
      </c>
      <c r="D547" s="29">
        <v>52.9</v>
      </c>
      <c r="E547" s="29">
        <v>33.1875</v>
      </c>
      <c r="F547" s="27">
        <v>2015</v>
      </c>
      <c r="G547" s="29">
        <v>22.5</v>
      </c>
      <c r="H547" s="28">
        <f t="shared" si="24"/>
        <v>42.533081285444233</v>
      </c>
      <c r="I547" s="30">
        <f t="shared" si="25"/>
        <v>62.736294896030245</v>
      </c>
      <c r="J547" s="31">
        <v>1870</v>
      </c>
      <c r="K547" s="31">
        <v>922</v>
      </c>
      <c r="L547" s="31">
        <v>1315</v>
      </c>
      <c r="M547" s="32">
        <v>26</v>
      </c>
      <c r="N547" s="33">
        <f t="shared" si="26"/>
        <v>3.3548820800016171E-2</v>
      </c>
    </row>
    <row r="548" spans="1:34" x14ac:dyDescent="0.3">
      <c r="A548" s="27" t="s">
        <v>1191</v>
      </c>
      <c r="B548" s="27" t="s">
        <v>128</v>
      </c>
      <c r="C548" s="26" t="s">
        <v>1192</v>
      </c>
      <c r="D548" s="29">
        <v>17</v>
      </c>
      <c r="E548" s="29">
        <v>8.0655570000000001</v>
      </c>
      <c r="F548" s="27">
        <v>2016</v>
      </c>
      <c r="G548" s="29">
        <v>7.0156999999999998</v>
      </c>
      <c r="H548" s="28">
        <f t="shared" si="24"/>
        <v>41.268823529411762</v>
      </c>
      <c r="I548" s="30">
        <f t="shared" si="25"/>
        <v>47.444452941176472</v>
      </c>
      <c r="J548" s="31">
        <v>1416</v>
      </c>
      <c r="K548" s="31">
        <v>554</v>
      </c>
      <c r="L548" s="31">
        <v>1592</v>
      </c>
      <c r="M548" s="32">
        <v>7.6</v>
      </c>
      <c r="N548" s="33">
        <f t="shared" si="26"/>
        <v>3.3505969591226321E-2</v>
      </c>
    </row>
    <row r="549" spans="1:34" x14ac:dyDescent="0.3">
      <c r="A549" s="27" t="s">
        <v>609</v>
      </c>
      <c r="B549" s="27" t="s">
        <v>128</v>
      </c>
      <c r="C549" s="26" t="s">
        <v>610</v>
      </c>
      <c r="D549" s="29">
        <v>13.8</v>
      </c>
      <c r="E549" s="29">
        <v>10.1295</v>
      </c>
      <c r="F549" s="27">
        <v>2015</v>
      </c>
      <c r="G549" s="29">
        <v>11.2</v>
      </c>
      <c r="H549" s="28">
        <f t="shared" si="24"/>
        <v>81.159420289855078</v>
      </c>
      <c r="I549" s="30">
        <f t="shared" si="25"/>
        <v>73.402173913043484</v>
      </c>
      <c r="J549" s="31">
        <v>2197</v>
      </c>
      <c r="K549" s="31">
        <v>427</v>
      </c>
      <c r="L549" s="31">
        <v>2971</v>
      </c>
      <c r="M549" s="32">
        <v>15.4</v>
      </c>
      <c r="N549" s="33">
        <f t="shared" si="26"/>
        <v>3.3410183847539139E-2</v>
      </c>
    </row>
    <row r="550" spans="1:34" x14ac:dyDescent="0.3">
      <c r="A550" s="42" t="s">
        <v>284</v>
      </c>
      <c r="B550" s="17" t="s">
        <v>4</v>
      </c>
      <c r="C550" s="17" t="s">
        <v>285</v>
      </c>
      <c r="D550" s="43">
        <v>26.899999618530298</v>
      </c>
      <c r="E550" s="43">
        <v>15.579999923706101</v>
      </c>
      <c r="F550" s="17">
        <v>2014</v>
      </c>
      <c r="G550" s="36">
        <v>10.1000003814697</v>
      </c>
      <c r="H550" s="28">
        <f t="shared" si="24"/>
        <v>37.546470352037581</v>
      </c>
      <c r="I550" s="30">
        <f t="shared" si="25"/>
        <v>57.918216151102413</v>
      </c>
      <c r="J550" s="31">
        <v>1734</v>
      </c>
      <c r="K550" s="30">
        <v>714</v>
      </c>
      <c r="L550" s="30">
        <v>1820</v>
      </c>
      <c r="M550" s="41">
        <v>8.8000000000000007</v>
      </c>
      <c r="N550" s="33">
        <f t="shared" si="26"/>
        <v>3.3401508737659985E-2</v>
      </c>
    </row>
    <row r="551" spans="1:34" x14ac:dyDescent="0.3">
      <c r="A551" s="27" t="s">
        <v>1257</v>
      </c>
      <c r="B551" s="27" t="s">
        <v>128</v>
      </c>
      <c r="C551" s="26" t="s">
        <v>1258</v>
      </c>
      <c r="D551" s="29">
        <v>31.6</v>
      </c>
      <c r="E551" s="29">
        <v>17.361000000000001</v>
      </c>
      <c r="F551" s="27">
        <v>2016</v>
      </c>
      <c r="G551" s="29">
        <v>11.7325</v>
      </c>
      <c r="H551" s="28">
        <f t="shared" si="24"/>
        <v>37.128164556962027</v>
      </c>
      <c r="I551" s="30">
        <f t="shared" si="25"/>
        <v>54.939873417721522</v>
      </c>
      <c r="J551" s="31">
        <v>1647</v>
      </c>
      <c r="K551" s="31">
        <v>545</v>
      </c>
      <c r="L551" s="31">
        <v>1927</v>
      </c>
      <c r="M551" s="32">
        <v>11.3</v>
      </c>
      <c r="N551" s="33">
        <f t="shared" si="26"/>
        <v>3.3357543058725882E-2</v>
      </c>
      <c r="O551" s="9"/>
      <c r="Q551" s="4"/>
      <c r="S551" s="8"/>
      <c r="T551" s="8"/>
      <c r="U551" s="8"/>
      <c r="V551" s="4"/>
      <c r="W551" s="8"/>
      <c r="X551" s="8"/>
      <c r="Y551" s="8"/>
      <c r="Z551" s="8"/>
      <c r="AA551" s="8"/>
      <c r="AB551" s="4"/>
      <c r="AC551" s="8"/>
      <c r="AD551" s="8"/>
      <c r="AE551" s="8"/>
      <c r="AF551" s="8"/>
      <c r="AG551" s="8"/>
      <c r="AH551" s="4"/>
    </row>
    <row r="552" spans="1:34" x14ac:dyDescent="0.3">
      <c r="A552" s="27" t="s">
        <v>727</v>
      </c>
      <c r="B552" s="27" t="s">
        <v>128</v>
      </c>
      <c r="C552" s="26" t="s">
        <v>728</v>
      </c>
      <c r="D552" s="29">
        <v>9.5</v>
      </c>
      <c r="E552" s="29">
        <v>5.2430000000000003</v>
      </c>
      <c r="F552" s="27">
        <v>2017</v>
      </c>
      <c r="G552" s="29">
        <v>6.5218999999999996</v>
      </c>
      <c r="H552" s="28">
        <f t="shared" si="24"/>
        <v>68.651578947368421</v>
      </c>
      <c r="I552" s="30">
        <f t="shared" si="25"/>
        <v>55.189473684210526</v>
      </c>
      <c r="J552" s="31">
        <v>1659</v>
      </c>
      <c r="K552" s="31">
        <v>653</v>
      </c>
      <c r="L552" s="31">
        <v>1648</v>
      </c>
      <c r="M552" s="32">
        <v>15.8</v>
      </c>
      <c r="N552" s="33">
        <f t="shared" si="26"/>
        <v>3.326671108150122E-2</v>
      </c>
      <c r="O552" s="9"/>
      <c r="P552" s="10"/>
      <c r="Q552" s="4"/>
      <c r="S552" s="8"/>
      <c r="T552" s="8"/>
      <c r="U552" s="8"/>
      <c r="V552" s="4"/>
      <c r="W552" s="8"/>
      <c r="X552" s="8"/>
      <c r="Y552" s="8"/>
      <c r="Z552" s="8"/>
      <c r="AA552" s="8"/>
      <c r="AB552" s="4"/>
      <c r="AC552" s="8"/>
      <c r="AD552" s="8"/>
      <c r="AE552" s="8"/>
      <c r="AF552" s="8"/>
      <c r="AG552" s="8"/>
      <c r="AH552" s="4"/>
    </row>
    <row r="553" spans="1:34" x14ac:dyDescent="0.3">
      <c r="A553" s="27" t="s">
        <v>1299</v>
      </c>
      <c r="B553" s="27" t="s">
        <v>9</v>
      </c>
      <c r="C553" s="26" t="s">
        <v>1300</v>
      </c>
      <c r="D553" s="29">
        <v>152.5</v>
      </c>
      <c r="E553" s="29">
        <v>99.331999999999994</v>
      </c>
      <c r="F553" s="27">
        <v>2017</v>
      </c>
      <c r="G553" s="29">
        <v>50</v>
      </c>
      <c r="H553" s="28">
        <f t="shared" si="24"/>
        <v>32.786885245901637</v>
      </c>
      <c r="I553" s="30">
        <f t="shared" si="25"/>
        <v>65.135737704918029</v>
      </c>
      <c r="J553" s="31">
        <v>1961</v>
      </c>
      <c r="K553" s="31">
        <v>928</v>
      </c>
      <c r="L553" s="31">
        <v>1445</v>
      </c>
      <c r="M553" s="32">
        <v>27.1</v>
      </c>
      <c r="N553" s="33">
        <f t="shared" si="26"/>
        <v>3.3215572516531379E-2</v>
      </c>
      <c r="O553" s="9"/>
      <c r="P553" s="10"/>
      <c r="Q553" s="4"/>
      <c r="S553" s="8"/>
      <c r="T553" s="8"/>
      <c r="U553" s="8"/>
      <c r="V553" s="4"/>
      <c r="W553" s="8"/>
      <c r="X553" s="8"/>
      <c r="Y553" s="8"/>
      <c r="Z553" s="8"/>
      <c r="AA553" s="8"/>
      <c r="AB553" s="4"/>
      <c r="AC553" s="8"/>
      <c r="AD553" s="8"/>
      <c r="AE553" s="8"/>
      <c r="AF553" s="8"/>
      <c r="AG553" s="8"/>
      <c r="AH553" s="4"/>
    </row>
    <row r="554" spans="1:34" ht="28.8" x14ac:dyDescent="0.3">
      <c r="A554" s="34" t="s">
        <v>35</v>
      </c>
      <c r="B554" s="16" t="s">
        <v>31</v>
      </c>
      <c r="C554" s="16" t="s">
        <v>230</v>
      </c>
      <c r="D554" s="35">
        <v>850</v>
      </c>
      <c r="E554" s="35">
        <v>614</v>
      </c>
      <c r="F554" s="16">
        <v>2015</v>
      </c>
      <c r="G554" s="36">
        <v>230</v>
      </c>
      <c r="H554" s="28">
        <f t="shared" si="24"/>
        <v>27.058823529411764</v>
      </c>
      <c r="I554" s="30">
        <f t="shared" si="25"/>
        <v>72.235294117647058</v>
      </c>
      <c r="J554" s="49">
        <v>2182</v>
      </c>
      <c r="K554" s="30">
        <v>419</v>
      </c>
      <c r="L554" s="30">
        <v>2962</v>
      </c>
      <c r="M554" s="31">
        <v>16.100000000000001</v>
      </c>
      <c r="N554" s="33">
        <f t="shared" si="26"/>
        <v>3.3105084380223214E-2</v>
      </c>
      <c r="O554" s="54"/>
      <c r="Q554" s="54"/>
      <c r="S554" s="54"/>
      <c r="T554" s="54"/>
      <c r="U554" s="54"/>
      <c r="V554" s="54"/>
      <c r="W554" s="54"/>
      <c r="X554" s="54"/>
      <c r="Y554" s="54"/>
      <c r="Z554" s="54"/>
      <c r="AA554" s="54"/>
      <c r="AB554" s="54"/>
      <c r="AC554" s="54"/>
      <c r="AD554" s="54"/>
      <c r="AE554" s="54"/>
      <c r="AF554" s="54"/>
      <c r="AG554" s="54"/>
      <c r="AH554" s="54"/>
    </row>
    <row r="555" spans="1:34" x14ac:dyDescent="0.3">
      <c r="A555" s="27" t="s">
        <v>1249</v>
      </c>
      <c r="B555" s="27" t="s">
        <v>128</v>
      </c>
      <c r="C555" s="26" t="s">
        <v>1250</v>
      </c>
      <c r="D555" s="29">
        <v>18.399999999999999</v>
      </c>
      <c r="E555" s="29">
        <v>9.9239999999999995</v>
      </c>
      <c r="F555" s="27">
        <v>2014</v>
      </c>
      <c r="G555" s="29">
        <v>7</v>
      </c>
      <c r="H555" s="28">
        <f t="shared" si="24"/>
        <v>38.043478260869563</v>
      </c>
      <c r="I555" s="30">
        <f t="shared" si="25"/>
        <v>53.934782608695649</v>
      </c>
      <c r="J555" s="31">
        <v>1639</v>
      </c>
      <c r="K555" s="31">
        <v>643</v>
      </c>
      <c r="L555" s="31">
        <v>1679</v>
      </c>
      <c r="M555" s="32">
        <v>15.2</v>
      </c>
      <c r="N555" s="33">
        <f t="shared" si="26"/>
        <v>3.2907127888160859E-2</v>
      </c>
    </row>
    <row r="556" spans="1:34" x14ac:dyDescent="0.3">
      <c r="A556" s="27" t="s">
        <v>1289</v>
      </c>
      <c r="B556" s="27" t="s">
        <v>128</v>
      </c>
      <c r="C556" s="26" t="s">
        <v>1290</v>
      </c>
      <c r="D556" s="29">
        <v>161.19999999999999</v>
      </c>
      <c r="E556" s="29">
        <v>88.677999999999997</v>
      </c>
      <c r="F556" s="27">
        <v>2016</v>
      </c>
      <c r="G556" s="29">
        <v>55.37</v>
      </c>
      <c r="H556" s="28">
        <f t="shared" si="24"/>
        <v>34.348635235732011</v>
      </c>
      <c r="I556" s="30">
        <f t="shared" si="25"/>
        <v>55.011166253101734</v>
      </c>
      <c r="J556" s="31">
        <v>1677</v>
      </c>
      <c r="K556" s="31">
        <v>546</v>
      </c>
      <c r="L556" s="31">
        <v>1975</v>
      </c>
      <c r="M556" s="32">
        <v>11.3</v>
      </c>
      <c r="N556" s="33">
        <f t="shared" si="26"/>
        <v>3.280331917298851E-2</v>
      </c>
    </row>
    <row r="557" spans="1:34" x14ac:dyDescent="0.3">
      <c r="A557" s="27" t="s">
        <v>1259</v>
      </c>
      <c r="B557" s="27" t="s">
        <v>128</v>
      </c>
      <c r="C557" s="26" t="s">
        <v>1260</v>
      </c>
      <c r="D557" s="29">
        <v>695.2</v>
      </c>
      <c r="E557" s="29">
        <v>455.43099999999998</v>
      </c>
      <c r="F557" s="27">
        <v>2016</v>
      </c>
      <c r="G557" s="29">
        <v>258</v>
      </c>
      <c r="H557" s="28">
        <f t="shared" si="24"/>
        <v>37.111622554660528</v>
      </c>
      <c r="I557" s="30">
        <f t="shared" si="25"/>
        <v>65.510788262370539</v>
      </c>
      <c r="J557" s="31">
        <v>2009</v>
      </c>
      <c r="K557" s="31">
        <v>479</v>
      </c>
      <c r="L557" s="31">
        <v>2533</v>
      </c>
      <c r="M557" s="32">
        <v>19.2</v>
      </c>
      <c r="N557" s="33">
        <f t="shared" si="26"/>
        <v>3.2608655182862392E-2</v>
      </c>
    </row>
    <row r="558" spans="1:34" x14ac:dyDescent="0.3">
      <c r="A558" s="27" t="s">
        <v>1139</v>
      </c>
      <c r="B558" s="27" t="s">
        <v>11</v>
      </c>
      <c r="C558" s="26" t="s">
        <v>1140</v>
      </c>
      <c r="D558" s="29">
        <v>63</v>
      </c>
      <c r="E558" s="29">
        <v>28</v>
      </c>
      <c r="F558" s="27">
        <v>2017</v>
      </c>
      <c r="G558" s="29">
        <v>28</v>
      </c>
      <c r="H558" s="28">
        <f t="shared" si="24"/>
        <v>44.444444444444443</v>
      </c>
      <c r="I558" s="30">
        <f t="shared" si="25"/>
        <v>44.444444444444443</v>
      </c>
      <c r="J558" s="31">
        <v>1364</v>
      </c>
      <c r="K558" s="31">
        <v>681</v>
      </c>
      <c r="L558" s="31">
        <v>1170</v>
      </c>
      <c r="M558" s="32">
        <v>12.3</v>
      </c>
      <c r="N558" s="33">
        <f t="shared" si="26"/>
        <v>3.2583903551645484E-2</v>
      </c>
      <c r="O558" s="9"/>
      <c r="P558" s="10"/>
      <c r="Q558" s="4"/>
      <c r="S558" s="8"/>
      <c r="T558" s="8"/>
      <c r="U558" s="8"/>
      <c r="V558" s="4"/>
      <c r="W558" s="8"/>
      <c r="X558" s="8"/>
      <c r="Y558" s="8"/>
      <c r="Z558" s="8"/>
      <c r="AA558" s="8"/>
      <c r="AB558" s="4"/>
      <c r="AC558" s="8"/>
      <c r="AD558" s="8"/>
      <c r="AE558" s="8"/>
      <c r="AF558" s="8"/>
      <c r="AG558" s="8"/>
      <c r="AH558" s="4"/>
    </row>
    <row r="559" spans="1:34" x14ac:dyDescent="0.3">
      <c r="A559" s="27" t="s">
        <v>1261</v>
      </c>
      <c r="B559" s="27" t="s">
        <v>128</v>
      </c>
      <c r="C559" s="26" t="s">
        <v>1262</v>
      </c>
      <c r="D559" s="29">
        <v>18.5</v>
      </c>
      <c r="E559" s="29">
        <v>9.7449999999999992</v>
      </c>
      <c r="F559" s="27">
        <v>2014</v>
      </c>
      <c r="G559" s="29">
        <v>6.8</v>
      </c>
      <c r="H559" s="28">
        <f t="shared" si="24"/>
        <v>36.756756756756758</v>
      </c>
      <c r="I559" s="30">
        <f t="shared" si="25"/>
        <v>52.675675675675677</v>
      </c>
      <c r="J559" s="31">
        <v>1629</v>
      </c>
      <c r="K559" s="31">
        <v>639</v>
      </c>
      <c r="L559" s="31">
        <v>1673</v>
      </c>
      <c r="M559" s="32">
        <v>14.9</v>
      </c>
      <c r="N559" s="33">
        <f t="shared" si="26"/>
        <v>3.233620360692184E-2</v>
      </c>
      <c r="O559" s="54"/>
      <c r="P559" s="54"/>
      <c r="Q559" s="54"/>
      <c r="S559" s="54"/>
      <c r="T559" s="54"/>
      <c r="U559" s="54"/>
      <c r="V559" s="54"/>
      <c r="W559" s="54"/>
      <c r="X559" s="54"/>
      <c r="Y559" s="54"/>
      <c r="Z559" s="54"/>
      <c r="AA559" s="54"/>
      <c r="AB559" s="54"/>
      <c r="AC559" s="54"/>
      <c r="AD559" s="54"/>
      <c r="AE559" s="54"/>
      <c r="AF559" s="54"/>
      <c r="AG559" s="54"/>
      <c r="AH559" s="54"/>
    </row>
    <row r="560" spans="1:34" x14ac:dyDescent="0.3">
      <c r="A560" s="27" t="s">
        <v>1319</v>
      </c>
      <c r="B560" s="27" t="s">
        <v>128</v>
      </c>
      <c r="C560" s="26" t="s">
        <v>1320</v>
      </c>
      <c r="D560" s="29">
        <v>9.9</v>
      </c>
      <c r="E560" s="29">
        <v>4.609</v>
      </c>
      <c r="F560" s="27">
        <v>2014</v>
      </c>
      <c r="G560" s="29">
        <v>3</v>
      </c>
      <c r="H560" s="28">
        <f t="shared" si="24"/>
        <v>30.303030303030305</v>
      </c>
      <c r="I560" s="30">
        <f t="shared" si="25"/>
        <v>46.555555555555557</v>
      </c>
      <c r="J560" s="31">
        <v>1446</v>
      </c>
      <c r="K560" s="31">
        <v>571</v>
      </c>
      <c r="L560" s="31">
        <v>1575</v>
      </c>
      <c r="M560" s="32">
        <v>8.6</v>
      </c>
      <c r="N560" s="33">
        <f t="shared" si="26"/>
        <v>3.219609651144921E-2</v>
      </c>
    </row>
    <row r="561" spans="1:34" x14ac:dyDescent="0.3">
      <c r="A561" s="34" t="s">
        <v>217</v>
      </c>
      <c r="B561" s="16" t="s">
        <v>20</v>
      </c>
      <c r="C561" s="16" t="s">
        <v>218</v>
      </c>
      <c r="D561" s="35">
        <v>345.6</v>
      </c>
      <c r="E561" s="35">
        <v>207</v>
      </c>
      <c r="F561" s="16">
        <v>2015</v>
      </c>
      <c r="G561" s="36">
        <v>130</v>
      </c>
      <c r="H561" s="28">
        <f t="shared" si="24"/>
        <v>37.61574074074074</v>
      </c>
      <c r="I561" s="30">
        <f t="shared" si="25"/>
        <v>59.895833333333336</v>
      </c>
      <c r="J561" s="48">
        <v>1863</v>
      </c>
      <c r="K561" s="30">
        <v>893</v>
      </c>
      <c r="L561" s="30">
        <v>1381</v>
      </c>
      <c r="M561" s="31">
        <v>24.1</v>
      </c>
      <c r="N561" s="33">
        <f t="shared" si="26"/>
        <v>3.2150205761316872E-2</v>
      </c>
    </row>
    <row r="562" spans="1:34" ht="28.8" x14ac:dyDescent="0.3">
      <c r="A562" s="34" t="s">
        <v>32</v>
      </c>
      <c r="B562" s="16" t="s">
        <v>31</v>
      </c>
      <c r="C562" s="16" t="s">
        <v>237</v>
      </c>
      <c r="D562" s="35">
        <v>1900</v>
      </c>
      <c r="E562" s="35">
        <v>1268</v>
      </c>
      <c r="F562" s="16">
        <v>2014</v>
      </c>
      <c r="G562" s="36">
        <v>550</v>
      </c>
      <c r="H562" s="28">
        <f t="shared" si="24"/>
        <v>28.94736842105263</v>
      </c>
      <c r="I562" s="30">
        <f t="shared" si="25"/>
        <v>66.736842105263165</v>
      </c>
      <c r="J562" s="51">
        <v>2085</v>
      </c>
      <c r="K562" s="30">
        <v>451</v>
      </c>
      <c r="L562" s="30">
        <v>2705</v>
      </c>
      <c r="M562" s="31">
        <v>16.399999999999999</v>
      </c>
      <c r="N562" s="33">
        <f t="shared" si="26"/>
        <v>3.200807774832766E-2</v>
      </c>
    </row>
    <row r="563" spans="1:34" x14ac:dyDescent="0.3">
      <c r="A563" s="27" t="s">
        <v>1325</v>
      </c>
      <c r="B563" s="27" t="s">
        <v>128</v>
      </c>
      <c r="C563" s="26" t="s">
        <v>1326</v>
      </c>
      <c r="D563" s="29">
        <v>241</v>
      </c>
      <c r="E563" s="29">
        <v>153.35650000000001</v>
      </c>
      <c r="F563" s="27">
        <v>2015</v>
      </c>
      <c r="G563" s="29">
        <v>72</v>
      </c>
      <c r="H563" s="28">
        <f t="shared" si="24"/>
        <v>29.875518672199171</v>
      </c>
      <c r="I563" s="30">
        <f t="shared" si="25"/>
        <v>63.633402489626555</v>
      </c>
      <c r="J563" s="31">
        <v>1995</v>
      </c>
      <c r="K563" s="31">
        <v>482</v>
      </c>
      <c r="L563" s="31">
        <v>2501</v>
      </c>
      <c r="M563" s="32">
        <v>19.2</v>
      </c>
      <c r="N563" s="33">
        <f t="shared" si="26"/>
        <v>3.1896442350690002E-2</v>
      </c>
      <c r="O563" s="54"/>
      <c r="Q563" s="54"/>
      <c r="S563" s="54"/>
      <c r="T563" s="54"/>
      <c r="U563" s="54"/>
      <c r="V563" s="54"/>
      <c r="W563" s="54"/>
      <c r="X563" s="54"/>
      <c r="Y563" s="54"/>
      <c r="Z563" s="54"/>
      <c r="AA563" s="54"/>
      <c r="AB563" s="54"/>
      <c r="AC563" s="54"/>
      <c r="AD563" s="54"/>
      <c r="AE563" s="54"/>
      <c r="AF563" s="54"/>
      <c r="AG563" s="54"/>
      <c r="AH563" s="54"/>
    </row>
    <row r="564" spans="1:34" x14ac:dyDescent="0.3">
      <c r="A564" s="27" t="s">
        <v>1227</v>
      </c>
      <c r="B564" s="27" t="s">
        <v>128</v>
      </c>
      <c r="C564" s="26" t="s">
        <v>1228</v>
      </c>
      <c r="D564" s="29">
        <v>114.9</v>
      </c>
      <c r="E564" s="29">
        <v>75</v>
      </c>
      <c r="F564" s="27">
        <v>2015</v>
      </c>
      <c r="G564" s="29">
        <v>45</v>
      </c>
      <c r="H564" s="28">
        <f t="shared" si="24"/>
        <v>39.164490861618802</v>
      </c>
      <c r="I564" s="30">
        <f t="shared" si="25"/>
        <v>65.274151436031332</v>
      </c>
      <c r="J564" s="31">
        <v>2048</v>
      </c>
      <c r="K564" s="31">
        <v>476</v>
      </c>
      <c r="L564" s="31">
        <v>2587</v>
      </c>
      <c r="M564" s="32">
        <v>18.600000000000001</v>
      </c>
      <c r="N564" s="33">
        <f t="shared" si="26"/>
        <v>3.1872144255874674E-2</v>
      </c>
    </row>
    <row r="565" spans="1:34" x14ac:dyDescent="0.3">
      <c r="A565" s="42" t="s">
        <v>424</v>
      </c>
      <c r="B565" s="17" t="s">
        <v>128</v>
      </c>
      <c r="C565" s="17" t="s">
        <v>425</v>
      </c>
      <c r="D565" s="43">
        <v>12.800000190734901</v>
      </c>
      <c r="E565" s="43">
        <v>5.7611117362976101</v>
      </c>
      <c r="F565" s="17">
        <v>2017</v>
      </c>
      <c r="G565" s="36">
        <v>5</v>
      </c>
      <c r="H565" s="28">
        <f t="shared" si="24"/>
        <v>39.062499417923284</v>
      </c>
      <c r="I565" s="30">
        <f t="shared" si="25"/>
        <v>45.008684769143279</v>
      </c>
      <c r="J565" s="31">
        <v>1415</v>
      </c>
      <c r="K565" s="30">
        <v>551</v>
      </c>
      <c r="L565" s="30">
        <v>1596</v>
      </c>
      <c r="M565" s="41">
        <v>7.6</v>
      </c>
      <c r="N565" s="33">
        <f t="shared" si="26"/>
        <v>3.180825778738041E-2</v>
      </c>
    </row>
    <row r="566" spans="1:34" x14ac:dyDescent="0.3">
      <c r="A566" s="27" t="s">
        <v>1235</v>
      </c>
      <c r="B566" s="27" t="s">
        <v>9</v>
      </c>
      <c r="C566" s="26" t="s">
        <v>1236</v>
      </c>
      <c r="D566" s="29">
        <v>129.4</v>
      </c>
      <c r="E566" s="29">
        <v>78.66</v>
      </c>
      <c r="F566" s="27">
        <v>2014</v>
      </c>
      <c r="G566" s="29">
        <v>50</v>
      </c>
      <c r="H566" s="28">
        <f t="shared" si="24"/>
        <v>38.639876352395675</v>
      </c>
      <c r="I566" s="30">
        <f t="shared" si="25"/>
        <v>60.788253477588874</v>
      </c>
      <c r="J566" s="31">
        <v>1922</v>
      </c>
      <c r="K566" s="31">
        <v>893</v>
      </c>
      <c r="L566" s="31">
        <v>1527</v>
      </c>
      <c r="M566" s="32">
        <v>25.7</v>
      </c>
      <c r="N566" s="33">
        <f t="shared" si="26"/>
        <v>3.1627603266175273E-2</v>
      </c>
      <c r="O566" s="9"/>
      <c r="P566" s="10"/>
      <c r="Q566" s="4"/>
      <c r="S566" s="8"/>
      <c r="T566" s="8"/>
      <c r="U566" s="8"/>
      <c r="V566" s="4"/>
      <c r="W566" s="8"/>
      <c r="X566" s="8"/>
      <c r="Y566" s="8"/>
      <c r="Z566" s="8"/>
      <c r="AA566" s="8"/>
      <c r="AB566" s="4"/>
      <c r="AC566" s="8"/>
      <c r="AD566" s="8"/>
      <c r="AE566" s="8"/>
      <c r="AF566" s="8"/>
      <c r="AG566" s="8"/>
      <c r="AH566" s="4"/>
    </row>
    <row r="567" spans="1:34" x14ac:dyDescent="0.3">
      <c r="A567" s="27" t="s">
        <v>1307</v>
      </c>
      <c r="B567" s="27" t="s">
        <v>15</v>
      </c>
      <c r="C567" s="26" t="s">
        <v>1308</v>
      </c>
      <c r="D567" s="29">
        <v>1019.4</v>
      </c>
      <c r="E567" s="29">
        <v>737.99800000000005</v>
      </c>
      <c r="F567" s="27">
        <v>2018</v>
      </c>
      <c r="G567" s="29">
        <v>327</v>
      </c>
      <c r="H567" s="28">
        <f t="shared" si="24"/>
        <v>32.07769276044732</v>
      </c>
      <c r="I567" s="30">
        <f t="shared" si="25"/>
        <v>72.395330586619579</v>
      </c>
      <c r="J567" s="31">
        <v>2291</v>
      </c>
      <c r="K567" s="31">
        <v>592</v>
      </c>
      <c r="L567" s="31">
        <v>2626</v>
      </c>
      <c r="M567" s="32">
        <v>22</v>
      </c>
      <c r="N567" s="33">
        <f t="shared" si="26"/>
        <v>3.159988240358777E-2</v>
      </c>
    </row>
    <row r="568" spans="1:34" x14ac:dyDescent="0.3">
      <c r="A568" s="27" t="s">
        <v>1251</v>
      </c>
      <c r="B568" s="27" t="s">
        <v>128</v>
      </c>
      <c r="C568" s="26" t="s">
        <v>1252</v>
      </c>
      <c r="D568" s="29">
        <v>18.399999999999999</v>
      </c>
      <c r="E568" s="29">
        <v>9.5254999999999992</v>
      </c>
      <c r="F568" s="27">
        <v>2015</v>
      </c>
      <c r="G568" s="29">
        <v>7</v>
      </c>
      <c r="H568" s="28">
        <f t="shared" si="24"/>
        <v>38.043478260869563</v>
      </c>
      <c r="I568" s="30">
        <f t="shared" si="25"/>
        <v>51.769021739130437</v>
      </c>
      <c r="J568" s="31">
        <v>1643</v>
      </c>
      <c r="K568" s="31">
        <v>642</v>
      </c>
      <c r="L568" s="31">
        <v>1684</v>
      </c>
      <c r="M568" s="32">
        <v>15.3</v>
      </c>
      <c r="N568" s="33">
        <f t="shared" si="26"/>
        <v>3.1508838550901058E-2</v>
      </c>
    </row>
    <row r="569" spans="1:34" x14ac:dyDescent="0.3">
      <c r="A569" s="27" t="s">
        <v>1225</v>
      </c>
      <c r="B569" s="27" t="s">
        <v>128</v>
      </c>
      <c r="C569" s="26" t="s">
        <v>1226</v>
      </c>
      <c r="D569" s="29">
        <v>66.8</v>
      </c>
      <c r="E569" s="29">
        <v>35.420999999999999</v>
      </c>
      <c r="F569" s="27">
        <v>2017</v>
      </c>
      <c r="G569" s="29">
        <v>26.2</v>
      </c>
      <c r="H569" s="28">
        <f t="shared" si="24"/>
        <v>39.221556886227546</v>
      </c>
      <c r="I569" s="30">
        <f t="shared" si="25"/>
        <v>53.025449101796404</v>
      </c>
      <c r="J569" s="31">
        <v>1697</v>
      </c>
      <c r="K569" s="31">
        <v>544</v>
      </c>
      <c r="L569" s="31">
        <v>2028</v>
      </c>
      <c r="M569" s="32">
        <v>11.3</v>
      </c>
      <c r="N569" s="33">
        <f t="shared" si="26"/>
        <v>3.1246581674600121E-2</v>
      </c>
    </row>
    <row r="570" spans="1:34" x14ac:dyDescent="0.3">
      <c r="A570" s="34" t="s">
        <v>219</v>
      </c>
      <c r="B570" s="16" t="s">
        <v>128</v>
      </c>
      <c r="C570" s="16" t="s">
        <v>220</v>
      </c>
      <c r="D570" s="35">
        <v>78.5</v>
      </c>
      <c r="E570" s="35">
        <v>40</v>
      </c>
      <c r="F570" s="16">
        <v>2015</v>
      </c>
      <c r="G570" s="36">
        <v>25</v>
      </c>
      <c r="H570" s="28">
        <f t="shared" si="24"/>
        <v>31.847133757961782</v>
      </c>
      <c r="I570" s="30">
        <f t="shared" si="25"/>
        <v>50.955414012738856</v>
      </c>
      <c r="J570" s="48">
        <v>1636</v>
      </c>
      <c r="K570" s="30">
        <v>638</v>
      </c>
      <c r="L570" s="30">
        <v>1687</v>
      </c>
      <c r="M570" s="31">
        <v>15</v>
      </c>
      <c r="N570" s="33">
        <f t="shared" si="26"/>
        <v>3.1146341083581209E-2</v>
      </c>
    </row>
    <row r="571" spans="1:34" x14ac:dyDescent="0.3">
      <c r="A571" s="27" t="s">
        <v>1313</v>
      </c>
      <c r="B571" s="27" t="s">
        <v>15</v>
      </c>
      <c r="C571" s="26" t="s">
        <v>1314</v>
      </c>
      <c r="D571" s="29">
        <v>1368.8</v>
      </c>
      <c r="E571" s="29">
        <v>972.91499999999996</v>
      </c>
      <c r="F571" s="27">
        <v>2018</v>
      </c>
      <c r="G571" s="29">
        <v>427</v>
      </c>
      <c r="H571" s="28">
        <f t="shared" si="24"/>
        <v>31.195207481005259</v>
      </c>
      <c r="I571" s="30">
        <f t="shared" si="25"/>
        <v>71.077951490356511</v>
      </c>
      <c r="J571" s="31">
        <v>2289</v>
      </c>
      <c r="K571" s="31">
        <v>592</v>
      </c>
      <c r="L571" s="31">
        <v>2622</v>
      </c>
      <c r="M571" s="32">
        <v>22</v>
      </c>
      <c r="N571" s="33">
        <f t="shared" si="26"/>
        <v>3.1051966575079297E-2</v>
      </c>
    </row>
    <row r="572" spans="1:34" x14ac:dyDescent="0.3">
      <c r="A572" s="27" t="s">
        <v>1121</v>
      </c>
      <c r="B572" s="27" t="s">
        <v>128</v>
      </c>
      <c r="C572" s="26" t="s">
        <v>1122</v>
      </c>
      <c r="D572" s="29">
        <v>83.5</v>
      </c>
      <c r="E572" s="29">
        <v>51.17</v>
      </c>
      <c r="F572" s="27">
        <v>2017</v>
      </c>
      <c r="G572" s="29">
        <v>37.6</v>
      </c>
      <c r="H572" s="28">
        <f t="shared" si="24"/>
        <v>45.029940119760482</v>
      </c>
      <c r="I572" s="30">
        <f t="shared" si="25"/>
        <v>61.281437125748504</v>
      </c>
      <c r="J572" s="31">
        <v>1985</v>
      </c>
      <c r="K572" s="31">
        <v>484</v>
      </c>
      <c r="L572" s="31">
        <v>2578</v>
      </c>
      <c r="M572" s="32">
        <v>12.2</v>
      </c>
      <c r="N572" s="33">
        <f t="shared" si="26"/>
        <v>3.0872260516749874E-2</v>
      </c>
    </row>
    <row r="573" spans="1:34" x14ac:dyDescent="0.3">
      <c r="A573" s="34" t="s">
        <v>221</v>
      </c>
      <c r="B573" s="16" t="s">
        <v>9</v>
      </c>
      <c r="C573" s="16" t="s">
        <v>222</v>
      </c>
      <c r="D573" s="35">
        <v>16.3</v>
      </c>
      <c r="E573" s="35">
        <v>9.766</v>
      </c>
      <c r="F573" s="16">
        <v>2014</v>
      </c>
      <c r="G573" s="36">
        <v>10</v>
      </c>
      <c r="H573" s="28">
        <f t="shared" ref="H573:H629" si="27">G573*10^6/(D573*10^4)</f>
        <v>61.349693251533743</v>
      </c>
      <c r="I573" s="30">
        <f t="shared" ref="I573:I629" si="28">E573*10^6/(D573*10^4)</f>
        <v>59.914110429447852</v>
      </c>
      <c r="J573" s="48">
        <v>1950</v>
      </c>
      <c r="K573" s="30">
        <v>921</v>
      </c>
      <c r="L573" s="30">
        <v>1451</v>
      </c>
      <c r="M573" s="31">
        <v>26.5</v>
      </c>
      <c r="N573" s="33">
        <f t="shared" ref="N573:N629" si="29">I573/J573</f>
        <v>3.0725184835614282E-2</v>
      </c>
      <c r="O573" s="9"/>
      <c r="P573" s="10"/>
      <c r="Q573" s="4"/>
      <c r="S573" s="8"/>
      <c r="T573" s="8"/>
      <c r="U573" s="8"/>
      <c r="V573" s="4"/>
      <c r="W573" s="8"/>
      <c r="X573" s="8"/>
      <c r="Y573" s="8"/>
      <c r="Z573" s="8"/>
      <c r="AA573" s="8"/>
      <c r="AB573" s="4"/>
      <c r="AC573" s="8"/>
      <c r="AD573" s="8"/>
      <c r="AE573" s="8"/>
      <c r="AF573" s="8"/>
      <c r="AG573" s="8"/>
      <c r="AH573" s="4"/>
    </row>
    <row r="574" spans="1:34" x14ac:dyDescent="0.3">
      <c r="A574" s="27" t="s">
        <v>1317</v>
      </c>
      <c r="B574" s="27" t="s">
        <v>128</v>
      </c>
      <c r="C574" s="26" t="s">
        <v>1318</v>
      </c>
      <c r="D574" s="29">
        <v>91</v>
      </c>
      <c r="E574" s="29">
        <v>45.228000000000002</v>
      </c>
      <c r="F574" s="27">
        <v>2014</v>
      </c>
      <c r="G574" s="29">
        <v>28</v>
      </c>
      <c r="H574" s="28">
        <f t="shared" si="27"/>
        <v>30.76923076923077</v>
      </c>
      <c r="I574" s="30">
        <f t="shared" si="28"/>
        <v>49.701098901098902</v>
      </c>
      <c r="J574" s="31">
        <v>1630</v>
      </c>
      <c r="K574" s="31">
        <v>641</v>
      </c>
      <c r="L574" s="31">
        <v>1675</v>
      </c>
      <c r="M574" s="32">
        <v>15.5</v>
      </c>
      <c r="N574" s="33">
        <f t="shared" si="29"/>
        <v>3.0491471718465585E-2</v>
      </c>
    </row>
    <row r="575" spans="1:34" x14ac:dyDescent="0.3">
      <c r="A575" s="27" t="s">
        <v>1223</v>
      </c>
      <c r="B575" s="27" t="s">
        <v>4</v>
      </c>
      <c r="C575" s="26" t="s">
        <v>1224</v>
      </c>
      <c r="D575" s="29">
        <v>127</v>
      </c>
      <c r="E575" s="29">
        <v>54</v>
      </c>
      <c r="F575" s="27">
        <v>2015</v>
      </c>
      <c r="G575" s="29">
        <v>50</v>
      </c>
      <c r="H575" s="28">
        <f t="shared" si="27"/>
        <v>39.370078740157481</v>
      </c>
      <c r="I575" s="30">
        <f t="shared" si="28"/>
        <v>42.519685039370081</v>
      </c>
      <c r="J575" s="31">
        <v>1395</v>
      </c>
      <c r="K575" s="31">
        <v>783</v>
      </c>
      <c r="L575" s="31">
        <v>980</v>
      </c>
      <c r="M575" s="32">
        <v>13.6</v>
      </c>
      <c r="N575" s="33">
        <f t="shared" si="29"/>
        <v>3.0480060960121923E-2</v>
      </c>
    </row>
    <row r="576" spans="1:34" x14ac:dyDescent="0.3">
      <c r="A576" s="42" t="s">
        <v>350</v>
      </c>
      <c r="B576" s="17" t="s">
        <v>6</v>
      </c>
      <c r="C576" s="17" t="s">
        <v>351</v>
      </c>
      <c r="D576" s="43">
        <v>17.200000762939499</v>
      </c>
      <c r="E576" s="43">
        <v>8.0336465835571307</v>
      </c>
      <c r="F576" s="17">
        <v>2016</v>
      </c>
      <c r="G576" s="36">
        <v>4.8669800758361799</v>
      </c>
      <c r="H576" s="28">
        <f t="shared" si="27"/>
        <v>28.296394534603539</v>
      </c>
      <c r="I576" s="30">
        <f t="shared" si="28"/>
        <v>46.707245507029683</v>
      </c>
      <c r="J576" s="31">
        <v>1552</v>
      </c>
      <c r="K576" s="30">
        <v>574</v>
      </c>
      <c r="L576" s="30">
        <v>1733</v>
      </c>
      <c r="M576" s="41">
        <v>15.2</v>
      </c>
      <c r="N576" s="33">
        <f t="shared" si="29"/>
        <v>3.0094874682364485E-2</v>
      </c>
    </row>
    <row r="577" spans="1:34" x14ac:dyDescent="0.3">
      <c r="A577" s="27" t="s">
        <v>1147</v>
      </c>
      <c r="B577" s="27" t="s">
        <v>9</v>
      </c>
      <c r="C577" s="26" t="s">
        <v>1148</v>
      </c>
      <c r="D577" s="29">
        <v>10.9</v>
      </c>
      <c r="E577" s="29">
        <v>6.6550000000000002</v>
      </c>
      <c r="F577" s="27">
        <v>2017</v>
      </c>
      <c r="G577" s="29">
        <v>4.8</v>
      </c>
      <c r="H577" s="28">
        <f t="shared" si="27"/>
        <v>44.036697247706421</v>
      </c>
      <c r="I577" s="30">
        <f t="shared" si="28"/>
        <v>61.055045871559635</v>
      </c>
      <c r="J577" s="31">
        <v>2032</v>
      </c>
      <c r="K577" s="31">
        <v>811</v>
      </c>
      <c r="L577" s="31">
        <v>1864</v>
      </c>
      <c r="M577" s="32">
        <v>25.3</v>
      </c>
      <c r="N577" s="33">
        <f t="shared" si="29"/>
        <v>3.0046774543090373E-2</v>
      </c>
    </row>
    <row r="578" spans="1:34" x14ac:dyDescent="0.3">
      <c r="A578" s="34" t="s">
        <v>224</v>
      </c>
      <c r="B578" s="16" t="s">
        <v>128</v>
      </c>
      <c r="C578" s="16" t="s">
        <v>225</v>
      </c>
      <c r="D578" s="35">
        <v>88.4</v>
      </c>
      <c r="E578" s="35">
        <v>53</v>
      </c>
      <c r="F578" s="16">
        <v>2015</v>
      </c>
      <c r="G578" s="36">
        <v>27</v>
      </c>
      <c r="H578" s="28">
        <f t="shared" si="27"/>
        <v>30.542986425339368</v>
      </c>
      <c r="I578" s="30">
        <f t="shared" si="28"/>
        <v>59.95475113122172</v>
      </c>
      <c r="J578" s="48">
        <v>2016</v>
      </c>
      <c r="K578" s="30">
        <v>485</v>
      </c>
      <c r="L578" s="30">
        <v>2517</v>
      </c>
      <c r="M578" s="31">
        <v>19.600000000000001</v>
      </c>
      <c r="N578" s="33">
        <f t="shared" si="29"/>
        <v>2.9739459886518708E-2</v>
      </c>
    </row>
    <row r="579" spans="1:34" x14ac:dyDescent="0.3">
      <c r="A579" s="27" t="s">
        <v>1281</v>
      </c>
      <c r="B579" s="27" t="s">
        <v>128</v>
      </c>
      <c r="C579" s="26" t="s">
        <v>1282</v>
      </c>
      <c r="D579" s="29">
        <v>74.599999999999994</v>
      </c>
      <c r="E579" s="29">
        <v>37.186</v>
      </c>
      <c r="F579" s="27">
        <v>2017</v>
      </c>
      <c r="G579" s="29">
        <v>26.19</v>
      </c>
      <c r="H579" s="28">
        <f t="shared" si="27"/>
        <v>35.107238605898125</v>
      </c>
      <c r="I579" s="30">
        <f t="shared" si="28"/>
        <v>49.847184986595174</v>
      </c>
      <c r="J579" s="31">
        <v>1679</v>
      </c>
      <c r="K579" s="31">
        <v>545</v>
      </c>
      <c r="L579" s="31">
        <v>1982</v>
      </c>
      <c r="M579" s="32">
        <v>11.2</v>
      </c>
      <c r="N579" s="33">
        <f t="shared" si="29"/>
        <v>2.968861523918712E-2</v>
      </c>
    </row>
    <row r="580" spans="1:34" x14ac:dyDescent="0.3">
      <c r="A580" s="34" t="s">
        <v>226</v>
      </c>
      <c r="B580" s="16" t="s">
        <v>1</v>
      </c>
      <c r="C580" s="16" t="s">
        <v>227</v>
      </c>
      <c r="D580" s="35">
        <v>50.2</v>
      </c>
      <c r="E580" s="35">
        <v>32.434199999999997</v>
      </c>
      <c r="F580" s="16">
        <v>2018</v>
      </c>
      <c r="G580" s="36">
        <v>17.893000000000001</v>
      </c>
      <c r="H580" s="28">
        <f t="shared" si="27"/>
        <v>35.643426294820721</v>
      </c>
      <c r="I580" s="30">
        <f t="shared" si="28"/>
        <v>64.609960159362544</v>
      </c>
      <c r="J580" s="48">
        <v>2181</v>
      </c>
      <c r="K580" s="30">
        <v>680</v>
      </c>
      <c r="L580" s="30">
        <v>2213</v>
      </c>
      <c r="M580" s="31">
        <v>23.6</v>
      </c>
      <c r="N580" s="33">
        <f t="shared" si="29"/>
        <v>2.9624007409152931E-2</v>
      </c>
    </row>
    <row r="581" spans="1:34" x14ac:dyDescent="0.3">
      <c r="A581" s="42" t="s">
        <v>364</v>
      </c>
      <c r="B581" s="17" t="s">
        <v>11</v>
      </c>
      <c r="C581" s="17" t="s">
        <v>365</v>
      </c>
      <c r="D581" s="43">
        <v>21.399999618530298</v>
      </c>
      <c r="E581" s="43">
        <v>9.5</v>
      </c>
      <c r="F581" s="17">
        <v>2014</v>
      </c>
      <c r="G581" s="36">
        <v>9.8000001907348597</v>
      </c>
      <c r="H581" s="28">
        <f t="shared" si="27"/>
        <v>45.794394230965409</v>
      </c>
      <c r="I581" s="30">
        <f t="shared" si="28"/>
        <v>44.39252415581322</v>
      </c>
      <c r="J581" s="31">
        <v>1507</v>
      </c>
      <c r="K581" s="30">
        <v>721</v>
      </c>
      <c r="L581" s="30">
        <v>1276</v>
      </c>
      <c r="M581" s="41">
        <v>15.5</v>
      </c>
      <c r="N581" s="33">
        <f t="shared" si="29"/>
        <v>2.9457547548648454E-2</v>
      </c>
    </row>
    <row r="582" spans="1:34" x14ac:dyDescent="0.3">
      <c r="A582" s="27" t="s">
        <v>1185</v>
      </c>
      <c r="B582" s="27" t="s">
        <v>17</v>
      </c>
      <c r="C582" s="26" t="s">
        <v>1186</v>
      </c>
      <c r="D582" s="29">
        <v>10</v>
      </c>
      <c r="E582" s="29">
        <v>5.7</v>
      </c>
      <c r="F582" s="27">
        <v>2015</v>
      </c>
      <c r="G582" s="29">
        <v>4.16</v>
      </c>
      <c r="H582" s="28">
        <f t="shared" si="27"/>
        <v>41.6</v>
      </c>
      <c r="I582" s="30">
        <f t="shared" si="28"/>
        <v>57</v>
      </c>
      <c r="J582" s="31">
        <v>1940</v>
      </c>
      <c r="K582" s="31">
        <v>756</v>
      </c>
      <c r="L582" s="31">
        <v>1707</v>
      </c>
      <c r="M582" s="32">
        <v>26.1</v>
      </c>
      <c r="N582" s="33">
        <f t="shared" si="29"/>
        <v>2.9381443298969072E-2</v>
      </c>
    </row>
    <row r="583" spans="1:34" x14ac:dyDescent="0.3">
      <c r="A583" s="27" t="s">
        <v>1321</v>
      </c>
      <c r="B583" s="27" t="s">
        <v>128</v>
      </c>
      <c r="C583" s="26" t="s">
        <v>1322</v>
      </c>
      <c r="D583" s="29">
        <v>49.5</v>
      </c>
      <c r="E583" s="29">
        <v>28.67</v>
      </c>
      <c r="F583" s="27">
        <v>2015</v>
      </c>
      <c r="G583" s="29">
        <v>15</v>
      </c>
      <c r="H583" s="28">
        <f t="shared" si="27"/>
        <v>30.303030303030305</v>
      </c>
      <c r="I583" s="30">
        <f t="shared" si="28"/>
        <v>57.919191919191917</v>
      </c>
      <c r="J583" s="31">
        <v>1991</v>
      </c>
      <c r="K583" s="31">
        <v>498</v>
      </c>
      <c r="L583" s="31">
        <v>2433</v>
      </c>
      <c r="M583" s="32">
        <v>19.3</v>
      </c>
      <c r="N583" s="33">
        <f t="shared" si="29"/>
        <v>2.909050322410443E-2</v>
      </c>
    </row>
    <row r="584" spans="1:34" x14ac:dyDescent="0.3">
      <c r="A584" s="34" t="s">
        <v>228</v>
      </c>
      <c r="B584" s="16" t="s">
        <v>13</v>
      </c>
      <c r="C584" s="16" t="s">
        <v>229</v>
      </c>
      <c r="D584" s="35">
        <v>158</v>
      </c>
      <c r="E584" s="35">
        <v>73</v>
      </c>
      <c r="F584" s="16">
        <v>2015</v>
      </c>
      <c r="G584" s="36">
        <v>50</v>
      </c>
      <c r="H584" s="28">
        <f t="shared" si="27"/>
        <v>31.645569620253166</v>
      </c>
      <c r="I584" s="30">
        <f t="shared" si="28"/>
        <v>46.202531645569621</v>
      </c>
      <c r="J584" s="48">
        <v>1597</v>
      </c>
      <c r="K584" s="30">
        <v>586</v>
      </c>
      <c r="L584" s="30">
        <v>1676</v>
      </c>
      <c r="M584" s="31">
        <v>10.1</v>
      </c>
      <c r="N584" s="33">
        <f t="shared" si="29"/>
        <v>2.8930827580193878E-2</v>
      </c>
      <c r="O584" s="9"/>
      <c r="Q584" s="4"/>
      <c r="S584" s="8"/>
      <c r="T584" s="8"/>
      <c r="U584" s="8"/>
      <c r="V584" s="4"/>
      <c r="W584" s="8"/>
      <c r="X584" s="8"/>
      <c r="Y584" s="8"/>
      <c r="Z584" s="8"/>
      <c r="AA584" s="8"/>
      <c r="AB584" s="4"/>
      <c r="AC584" s="8"/>
      <c r="AD584" s="8"/>
      <c r="AE584" s="8"/>
      <c r="AF584" s="8"/>
      <c r="AG584" s="8"/>
      <c r="AH584" s="4"/>
    </row>
    <row r="585" spans="1:34" x14ac:dyDescent="0.3">
      <c r="A585" s="27" t="s">
        <v>1239</v>
      </c>
      <c r="B585" s="27" t="s">
        <v>128</v>
      </c>
      <c r="C585" s="26" t="s">
        <v>1240</v>
      </c>
      <c r="D585" s="29">
        <v>13.1</v>
      </c>
      <c r="E585" s="29">
        <v>7.8630000000000004</v>
      </c>
      <c r="F585" s="27">
        <v>2017</v>
      </c>
      <c r="G585" s="29">
        <v>5</v>
      </c>
      <c r="H585" s="28">
        <f t="shared" si="27"/>
        <v>38.167938931297712</v>
      </c>
      <c r="I585" s="30">
        <f t="shared" si="28"/>
        <v>60.022900763358777</v>
      </c>
      <c r="J585" s="31">
        <v>2084</v>
      </c>
      <c r="K585" s="31">
        <v>468</v>
      </c>
      <c r="L585" s="31">
        <v>2741</v>
      </c>
      <c r="M585" s="32">
        <v>17.5</v>
      </c>
      <c r="N585" s="33">
        <f t="shared" si="29"/>
        <v>2.8801775798156803E-2</v>
      </c>
    </row>
    <row r="586" spans="1:34" x14ac:dyDescent="0.3">
      <c r="A586" s="27" t="s">
        <v>1323</v>
      </c>
      <c r="B586" s="27" t="s">
        <v>128</v>
      </c>
      <c r="C586" s="26" t="s">
        <v>1324</v>
      </c>
      <c r="D586" s="29">
        <v>434.3</v>
      </c>
      <c r="E586" s="29">
        <v>270.96199999999999</v>
      </c>
      <c r="F586" s="27">
        <v>2016</v>
      </c>
      <c r="G586" s="29">
        <v>131</v>
      </c>
      <c r="H586" s="28">
        <f t="shared" si="27"/>
        <v>30.163481464425512</v>
      </c>
      <c r="I586" s="30">
        <f t="shared" si="28"/>
        <v>62.390513469951649</v>
      </c>
      <c r="J586" s="31">
        <v>2182</v>
      </c>
      <c r="K586" s="31">
        <v>418</v>
      </c>
      <c r="L586" s="31">
        <v>2964</v>
      </c>
      <c r="M586" s="32">
        <v>16.100000000000001</v>
      </c>
      <c r="N586" s="33">
        <f t="shared" si="29"/>
        <v>2.8593269234624952E-2</v>
      </c>
      <c r="O586" s="54"/>
      <c r="Q586" s="54"/>
      <c r="S586" s="54"/>
      <c r="T586" s="54"/>
      <c r="U586" s="54"/>
      <c r="V586" s="54"/>
      <c r="W586" s="54"/>
      <c r="X586" s="54"/>
      <c r="Y586" s="54"/>
      <c r="Z586" s="54"/>
      <c r="AA586" s="54"/>
      <c r="AB586" s="54"/>
      <c r="AC586" s="54"/>
      <c r="AD586" s="54"/>
      <c r="AE586" s="54"/>
      <c r="AF586" s="54"/>
      <c r="AG586" s="54"/>
      <c r="AH586" s="54"/>
    </row>
    <row r="587" spans="1:34" x14ac:dyDescent="0.3">
      <c r="A587" s="27" t="s">
        <v>976</v>
      </c>
      <c r="B587" s="27" t="s">
        <v>128</v>
      </c>
      <c r="C587" s="26" t="s">
        <v>977</v>
      </c>
      <c r="D587" s="29">
        <v>12.3</v>
      </c>
      <c r="E587" s="29">
        <v>5.7611119999999998</v>
      </c>
      <c r="F587" s="27">
        <v>2016</v>
      </c>
      <c r="G587" s="29">
        <v>6.5834999999999999</v>
      </c>
      <c r="H587" s="28">
        <f t="shared" si="27"/>
        <v>53.524390243902438</v>
      </c>
      <c r="I587" s="30">
        <f t="shared" si="28"/>
        <v>46.83830894308943</v>
      </c>
      <c r="J587" s="31">
        <v>1647</v>
      </c>
      <c r="K587" s="31">
        <v>649</v>
      </c>
      <c r="L587" s="31">
        <v>1672</v>
      </c>
      <c r="M587" s="32">
        <v>15</v>
      </c>
      <c r="N587" s="33">
        <f t="shared" si="29"/>
        <v>2.8438560378317809E-2</v>
      </c>
    </row>
    <row r="588" spans="1:34" x14ac:dyDescent="0.3">
      <c r="A588" s="27" t="s">
        <v>1333</v>
      </c>
      <c r="B588" s="27" t="s">
        <v>128</v>
      </c>
      <c r="C588" s="26" t="s">
        <v>1334</v>
      </c>
      <c r="D588" s="29">
        <v>56.3</v>
      </c>
      <c r="E588" s="29">
        <v>26.561</v>
      </c>
      <c r="F588" s="27">
        <v>2016</v>
      </c>
      <c r="G588" s="29">
        <v>16.600000000000001</v>
      </c>
      <c r="H588" s="28">
        <f t="shared" si="27"/>
        <v>29.484902309058619</v>
      </c>
      <c r="I588" s="30">
        <f t="shared" si="28"/>
        <v>47.177619893428066</v>
      </c>
      <c r="J588" s="31">
        <v>1676</v>
      </c>
      <c r="K588" s="31">
        <v>643</v>
      </c>
      <c r="L588" s="31">
        <v>1688</v>
      </c>
      <c r="M588" s="32">
        <v>17.2</v>
      </c>
      <c r="N588" s="33">
        <f t="shared" si="29"/>
        <v>2.814893788390696E-2</v>
      </c>
    </row>
    <row r="589" spans="1:34" x14ac:dyDescent="0.3">
      <c r="A589" s="27" t="s">
        <v>1311</v>
      </c>
      <c r="B589" s="27" t="s">
        <v>128</v>
      </c>
      <c r="C589" s="26" t="s">
        <v>1312</v>
      </c>
      <c r="D589" s="29">
        <v>89.2</v>
      </c>
      <c r="E589" s="29">
        <v>40.505000000000003</v>
      </c>
      <c r="F589" s="27">
        <v>2014</v>
      </c>
      <c r="G589" s="29">
        <v>28</v>
      </c>
      <c r="H589" s="28">
        <f t="shared" si="27"/>
        <v>31.390134529147982</v>
      </c>
      <c r="I589" s="30">
        <f t="shared" si="28"/>
        <v>45.409192825112108</v>
      </c>
      <c r="J589" s="31">
        <v>1630</v>
      </c>
      <c r="K589" s="31">
        <v>640</v>
      </c>
      <c r="L589" s="31">
        <v>1673</v>
      </c>
      <c r="M589" s="32">
        <v>15</v>
      </c>
      <c r="N589" s="33">
        <f t="shared" si="29"/>
        <v>2.7858400506203747E-2</v>
      </c>
    </row>
    <row r="590" spans="1:34" x14ac:dyDescent="0.3">
      <c r="A590" s="34" t="s">
        <v>231</v>
      </c>
      <c r="B590" s="16" t="s">
        <v>7</v>
      </c>
      <c r="C590" s="16" t="s">
        <v>232</v>
      </c>
      <c r="D590" s="35">
        <v>36.700000000000003</v>
      </c>
      <c r="E590" s="35">
        <v>11</v>
      </c>
      <c r="F590" s="16">
        <v>2015</v>
      </c>
      <c r="G590" s="36">
        <v>10</v>
      </c>
      <c r="H590" s="28">
        <f t="shared" si="27"/>
        <v>27.247956403269754</v>
      </c>
      <c r="I590" s="30">
        <f t="shared" si="28"/>
        <v>29.972752043596731</v>
      </c>
      <c r="J590" s="48">
        <v>1076</v>
      </c>
      <c r="K590" s="30">
        <v>565</v>
      </c>
      <c r="L590" s="30">
        <v>968</v>
      </c>
      <c r="M590" s="31">
        <v>9.6999999999999993</v>
      </c>
      <c r="N590" s="33">
        <f t="shared" si="29"/>
        <v>2.7855717512636366E-2</v>
      </c>
    </row>
    <row r="591" spans="1:34" x14ac:dyDescent="0.3">
      <c r="A591" s="27" t="s">
        <v>1339</v>
      </c>
      <c r="B591" s="27" t="s">
        <v>128</v>
      </c>
      <c r="C591" s="26" t="s">
        <v>1340</v>
      </c>
      <c r="D591" s="29">
        <v>248.8</v>
      </c>
      <c r="E591" s="29">
        <v>150.34200000000001</v>
      </c>
      <c r="F591" s="27">
        <v>2016</v>
      </c>
      <c r="G591" s="29">
        <v>67.7</v>
      </c>
      <c r="H591" s="28">
        <f t="shared" si="27"/>
        <v>27.210610932475884</v>
      </c>
      <c r="I591" s="30">
        <f t="shared" si="28"/>
        <v>60.426848874598072</v>
      </c>
      <c r="J591" s="31">
        <v>2182</v>
      </c>
      <c r="K591" s="31">
        <v>420</v>
      </c>
      <c r="L591" s="31">
        <v>2961</v>
      </c>
      <c r="M591" s="32">
        <v>16.3</v>
      </c>
      <c r="N591" s="33">
        <f t="shared" si="29"/>
        <v>2.7693331289916624E-2</v>
      </c>
      <c r="O591" s="9"/>
      <c r="Q591" s="4"/>
      <c r="S591" s="8"/>
      <c r="T591" s="8"/>
      <c r="U591" s="8"/>
      <c r="V591" s="4"/>
      <c r="W591" s="8"/>
      <c r="X591" s="8"/>
      <c r="Y591" s="8"/>
      <c r="Z591" s="8"/>
      <c r="AA591" s="8"/>
      <c r="AB591" s="4"/>
      <c r="AC591" s="8"/>
      <c r="AD591" s="8"/>
      <c r="AE591" s="8"/>
      <c r="AF591" s="8"/>
      <c r="AG591" s="8"/>
      <c r="AH591" s="4"/>
    </row>
    <row r="592" spans="1:34" x14ac:dyDescent="0.3">
      <c r="A592" s="27" t="s">
        <v>1301</v>
      </c>
      <c r="B592" s="27" t="s">
        <v>128</v>
      </c>
      <c r="C592" s="26" t="s">
        <v>1302</v>
      </c>
      <c r="D592" s="29">
        <v>13.8</v>
      </c>
      <c r="E592" s="29">
        <v>5.5573329999999999</v>
      </c>
      <c r="F592" s="27">
        <v>2014</v>
      </c>
      <c r="G592" s="29">
        <v>4.492</v>
      </c>
      <c r="H592" s="28">
        <f t="shared" si="27"/>
        <v>32.550724637681157</v>
      </c>
      <c r="I592" s="30">
        <f t="shared" si="28"/>
        <v>40.270528985507248</v>
      </c>
      <c r="J592" s="31">
        <v>1455</v>
      </c>
      <c r="K592" s="31">
        <v>583</v>
      </c>
      <c r="L592" s="31">
        <v>1528</v>
      </c>
      <c r="M592" s="32">
        <v>10.199999999999999</v>
      </c>
      <c r="N592" s="33">
        <f t="shared" si="29"/>
        <v>2.7677339508939688E-2</v>
      </c>
    </row>
    <row r="593" spans="1:34" x14ac:dyDescent="0.3">
      <c r="A593" s="34" t="s">
        <v>233</v>
      </c>
      <c r="B593" s="16" t="s">
        <v>3</v>
      </c>
      <c r="C593" s="16" t="s">
        <v>234</v>
      </c>
      <c r="D593" s="35">
        <v>217.7</v>
      </c>
      <c r="E593" s="35">
        <v>150</v>
      </c>
      <c r="F593" s="16">
        <v>2017</v>
      </c>
      <c r="G593" s="36">
        <v>57.6</v>
      </c>
      <c r="H593" s="28">
        <f t="shared" si="27"/>
        <v>26.458429030776298</v>
      </c>
      <c r="I593" s="30">
        <f t="shared" si="28"/>
        <v>68.902158934313277</v>
      </c>
      <c r="J593" s="48">
        <v>2520</v>
      </c>
      <c r="K593" s="30">
        <v>525</v>
      </c>
      <c r="L593" s="30">
        <v>3046</v>
      </c>
      <c r="M593" s="31">
        <v>18.600000000000001</v>
      </c>
      <c r="N593" s="33">
        <f t="shared" si="29"/>
        <v>2.7342126561235428E-2</v>
      </c>
    </row>
    <row r="594" spans="1:34" x14ac:dyDescent="0.3">
      <c r="A594" s="27" t="s">
        <v>960</v>
      </c>
      <c r="B594" s="27" t="s">
        <v>128</v>
      </c>
      <c r="C594" s="26" t="s">
        <v>961</v>
      </c>
      <c r="D594" s="29">
        <v>25.3</v>
      </c>
      <c r="E594" s="29">
        <v>11.407</v>
      </c>
      <c r="F594" s="27">
        <v>2016</v>
      </c>
      <c r="G594" s="29">
        <v>13.770899999999999</v>
      </c>
      <c r="H594" s="28">
        <f t="shared" si="27"/>
        <v>54.430434782608693</v>
      </c>
      <c r="I594" s="30">
        <f t="shared" si="28"/>
        <v>45.086956521739133</v>
      </c>
      <c r="J594" s="31">
        <v>1655</v>
      </c>
      <c r="K594" s="31">
        <v>481</v>
      </c>
      <c r="L594" s="31">
        <v>2105</v>
      </c>
      <c r="M594" s="32">
        <v>8.6999999999999993</v>
      </c>
      <c r="N594" s="33">
        <f t="shared" si="29"/>
        <v>2.7242874031262316E-2</v>
      </c>
    </row>
    <row r="595" spans="1:34" x14ac:dyDescent="0.3">
      <c r="A595" s="42" t="s">
        <v>260</v>
      </c>
      <c r="B595" s="17" t="s">
        <v>128</v>
      </c>
      <c r="C595" s="17" t="s">
        <v>261</v>
      </c>
      <c r="D595" s="43">
        <v>58.599998474121101</v>
      </c>
      <c r="E595" s="43">
        <v>34</v>
      </c>
      <c r="F595" s="17">
        <v>2014</v>
      </c>
      <c r="G595" s="36">
        <v>16.399999618530298</v>
      </c>
      <c r="H595" s="28">
        <f t="shared" si="27"/>
        <v>27.986348200628118</v>
      </c>
      <c r="I595" s="30">
        <f t="shared" si="28"/>
        <v>58.020479326488477</v>
      </c>
      <c r="J595" s="31">
        <v>2155</v>
      </c>
      <c r="K595" s="30">
        <v>461</v>
      </c>
      <c r="L595" s="30">
        <v>2806</v>
      </c>
      <c r="M595" s="41">
        <v>20.100000000000001</v>
      </c>
      <c r="N595" s="33">
        <f t="shared" si="29"/>
        <v>2.6923656299994651E-2</v>
      </c>
    </row>
    <row r="596" spans="1:34" x14ac:dyDescent="0.3">
      <c r="A596" s="42" t="s">
        <v>270</v>
      </c>
      <c r="B596" s="17" t="s">
        <v>3</v>
      </c>
      <c r="C596" s="17" t="s">
        <v>271</v>
      </c>
      <c r="D596" s="43">
        <v>32.299999237060497</v>
      </c>
      <c r="E596" s="43">
        <v>16.399999618530298</v>
      </c>
      <c r="F596" s="17">
        <v>2016</v>
      </c>
      <c r="G596" s="36">
        <v>10.5</v>
      </c>
      <c r="H596" s="28">
        <f t="shared" si="27"/>
        <v>32.507740705926921</v>
      </c>
      <c r="I596" s="30">
        <f t="shared" si="28"/>
        <v>50.773993826331747</v>
      </c>
      <c r="J596" s="31">
        <v>1897</v>
      </c>
      <c r="K596" s="30">
        <v>558</v>
      </c>
      <c r="L596" s="30">
        <v>2138</v>
      </c>
      <c r="M596" s="41">
        <v>15.7</v>
      </c>
      <c r="N596" s="33">
        <f t="shared" si="29"/>
        <v>2.676541582832459E-2</v>
      </c>
    </row>
    <row r="597" spans="1:34" x14ac:dyDescent="0.3">
      <c r="A597" s="27" t="s">
        <v>1263</v>
      </c>
      <c r="B597" s="27" t="s">
        <v>4</v>
      </c>
      <c r="C597" s="26" t="s">
        <v>1264</v>
      </c>
      <c r="D597" s="29">
        <v>463.8</v>
      </c>
      <c r="E597" s="29">
        <v>200</v>
      </c>
      <c r="F597" s="27">
        <v>2015</v>
      </c>
      <c r="G597" s="29">
        <v>170</v>
      </c>
      <c r="H597" s="28">
        <f t="shared" si="27"/>
        <v>36.653730056058649</v>
      </c>
      <c r="I597" s="30">
        <f t="shared" si="28"/>
        <v>43.122035360068992</v>
      </c>
      <c r="J597" s="31">
        <v>1617</v>
      </c>
      <c r="K597" s="31">
        <v>674</v>
      </c>
      <c r="L597" s="31">
        <v>1734</v>
      </c>
      <c r="M597" s="32">
        <v>4.2</v>
      </c>
      <c r="N597" s="33">
        <f t="shared" si="29"/>
        <v>2.6667925392745203E-2</v>
      </c>
    </row>
    <row r="598" spans="1:34" x14ac:dyDescent="0.3">
      <c r="A598" s="34" t="s">
        <v>235</v>
      </c>
      <c r="B598" s="16" t="s">
        <v>3</v>
      </c>
      <c r="C598" s="16" t="s">
        <v>236</v>
      </c>
      <c r="D598" s="35">
        <v>124.2</v>
      </c>
      <c r="E598" s="35">
        <v>80</v>
      </c>
      <c r="F598" s="16">
        <v>2014</v>
      </c>
      <c r="G598" s="36">
        <v>36</v>
      </c>
      <c r="H598" s="28">
        <f t="shared" si="27"/>
        <v>28.985507246376812</v>
      </c>
      <c r="I598" s="30">
        <f t="shared" si="28"/>
        <v>64.412238325281805</v>
      </c>
      <c r="J598" s="48">
        <v>2458</v>
      </c>
      <c r="K598" s="30">
        <v>526</v>
      </c>
      <c r="L598" s="30">
        <v>2996</v>
      </c>
      <c r="M598" s="31">
        <v>18.600000000000001</v>
      </c>
      <c r="N598" s="33">
        <f t="shared" si="29"/>
        <v>2.6205141710855088E-2</v>
      </c>
    </row>
    <row r="599" spans="1:34" x14ac:dyDescent="0.3">
      <c r="A599" s="42" t="s">
        <v>258</v>
      </c>
      <c r="B599" s="17" t="s">
        <v>19</v>
      </c>
      <c r="C599" s="17" t="s">
        <v>259</v>
      </c>
      <c r="D599" s="43">
        <v>47.700000762939503</v>
      </c>
      <c r="E599" s="43">
        <v>26.899999618530298</v>
      </c>
      <c r="F599" s="17">
        <v>2014</v>
      </c>
      <c r="G599" s="36">
        <v>11</v>
      </c>
      <c r="H599" s="28">
        <f t="shared" si="27"/>
        <v>23.060796276855502</v>
      </c>
      <c r="I599" s="30">
        <f t="shared" si="28"/>
        <v>56.394128277310728</v>
      </c>
      <c r="J599" s="31">
        <v>2188</v>
      </c>
      <c r="K599" s="30">
        <v>457</v>
      </c>
      <c r="L599" s="30">
        <v>2822</v>
      </c>
      <c r="M599" s="41">
        <v>18.600000000000001</v>
      </c>
      <c r="N599" s="33">
        <f t="shared" si="29"/>
        <v>2.5774281662390642E-2</v>
      </c>
    </row>
    <row r="600" spans="1:34" x14ac:dyDescent="0.3">
      <c r="A600" s="27" t="s">
        <v>1293</v>
      </c>
      <c r="B600" s="27" t="s">
        <v>128</v>
      </c>
      <c r="C600" s="26" t="s">
        <v>1294</v>
      </c>
      <c r="D600" s="29">
        <v>19.399999999999999</v>
      </c>
      <c r="E600" s="29">
        <v>8.0570000000000004</v>
      </c>
      <c r="F600" s="27">
        <v>2016</v>
      </c>
      <c r="G600" s="29">
        <v>6.6</v>
      </c>
      <c r="H600" s="28">
        <f t="shared" si="27"/>
        <v>34.020618556701031</v>
      </c>
      <c r="I600" s="30">
        <f t="shared" si="28"/>
        <v>41.53092783505155</v>
      </c>
      <c r="J600" s="31">
        <v>1619</v>
      </c>
      <c r="K600" s="31">
        <v>636</v>
      </c>
      <c r="L600" s="31">
        <v>1663</v>
      </c>
      <c r="M600" s="32">
        <v>14.7</v>
      </c>
      <c r="N600" s="33">
        <f t="shared" si="29"/>
        <v>2.5652209904293729E-2</v>
      </c>
    </row>
    <row r="601" spans="1:34" x14ac:dyDescent="0.3">
      <c r="A601" s="27" t="s">
        <v>1014</v>
      </c>
      <c r="B601" s="27" t="s">
        <v>128</v>
      </c>
      <c r="C601" s="26" t="s">
        <v>1015</v>
      </c>
      <c r="D601" s="29">
        <v>27</v>
      </c>
      <c r="E601" s="29">
        <v>13.27567</v>
      </c>
      <c r="F601" s="27">
        <v>2014</v>
      </c>
      <c r="G601" s="29">
        <v>14</v>
      </c>
      <c r="H601" s="28">
        <f t="shared" si="27"/>
        <v>51.851851851851855</v>
      </c>
      <c r="I601" s="30">
        <f t="shared" si="28"/>
        <v>49.169148148148146</v>
      </c>
      <c r="J601" s="31">
        <v>1941</v>
      </c>
      <c r="K601" s="31">
        <v>784</v>
      </c>
      <c r="L601" s="31">
        <v>1679</v>
      </c>
      <c r="M601" s="32">
        <v>23.5</v>
      </c>
      <c r="N601" s="33">
        <f t="shared" si="29"/>
        <v>2.5331864063960919E-2</v>
      </c>
      <c r="O601" s="54"/>
      <c r="Q601" s="54"/>
      <c r="S601" s="54"/>
      <c r="T601" s="54"/>
      <c r="U601" s="54"/>
      <c r="V601" s="54"/>
      <c r="W601" s="54"/>
      <c r="X601" s="54"/>
      <c r="Y601" s="54"/>
      <c r="Z601" s="54"/>
      <c r="AA601" s="54"/>
      <c r="AB601" s="54"/>
      <c r="AC601" s="54"/>
      <c r="AD601" s="54"/>
      <c r="AE601" s="54"/>
      <c r="AF601" s="54"/>
      <c r="AG601" s="54"/>
      <c r="AH601" s="54"/>
    </row>
    <row r="602" spans="1:34" x14ac:dyDescent="0.3">
      <c r="A602" s="27" t="s">
        <v>1327</v>
      </c>
      <c r="B602" s="27" t="s">
        <v>11</v>
      </c>
      <c r="C602" s="26" t="s">
        <v>1328</v>
      </c>
      <c r="D602" s="29">
        <v>82.1</v>
      </c>
      <c r="E602" s="29">
        <v>26</v>
      </c>
      <c r="F602" s="27">
        <v>2015</v>
      </c>
      <c r="G602" s="29">
        <v>24.5</v>
      </c>
      <c r="H602" s="28">
        <f t="shared" si="27"/>
        <v>29.841656516443361</v>
      </c>
      <c r="I602" s="30">
        <f t="shared" si="28"/>
        <v>31.668696711327648</v>
      </c>
      <c r="J602" s="31">
        <v>1253</v>
      </c>
      <c r="K602" s="31">
        <v>634</v>
      </c>
      <c r="L602" s="31">
        <v>1169</v>
      </c>
      <c r="M602" s="32">
        <v>6.7</v>
      </c>
      <c r="N602" s="33">
        <f t="shared" si="29"/>
        <v>2.5274299051338905E-2</v>
      </c>
    </row>
    <row r="603" spans="1:34" x14ac:dyDescent="0.3">
      <c r="A603" s="27" t="s">
        <v>1022</v>
      </c>
      <c r="B603" s="27" t="s">
        <v>128</v>
      </c>
      <c r="C603" s="26" t="s">
        <v>1023</v>
      </c>
      <c r="D603" s="29">
        <v>57.7</v>
      </c>
      <c r="E603" s="29">
        <v>23.5915</v>
      </c>
      <c r="F603" s="27">
        <v>2014</v>
      </c>
      <c r="G603" s="29">
        <v>29.61</v>
      </c>
      <c r="H603" s="28">
        <f t="shared" si="27"/>
        <v>51.317157712305026</v>
      </c>
      <c r="I603" s="30">
        <f t="shared" si="28"/>
        <v>40.886481802426346</v>
      </c>
      <c r="J603" s="31">
        <v>1621</v>
      </c>
      <c r="K603" s="31">
        <v>631</v>
      </c>
      <c r="L603" s="31">
        <v>1671</v>
      </c>
      <c r="M603" s="32">
        <v>14.6</v>
      </c>
      <c r="N603" s="33">
        <f t="shared" si="29"/>
        <v>2.5222999261213044E-2</v>
      </c>
      <c r="O603" s="9"/>
      <c r="Q603" s="4"/>
      <c r="S603" s="8"/>
      <c r="T603" s="8"/>
      <c r="U603" s="8"/>
      <c r="V603" s="4"/>
      <c r="W603" s="8"/>
      <c r="X603" s="8"/>
      <c r="Y603" s="8"/>
      <c r="Z603" s="8"/>
      <c r="AA603" s="8"/>
      <c r="AB603" s="4"/>
      <c r="AC603" s="8"/>
      <c r="AD603" s="8"/>
      <c r="AE603" s="8"/>
      <c r="AF603" s="8"/>
      <c r="AG603" s="8"/>
      <c r="AH603" s="4"/>
    </row>
    <row r="604" spans="1:34" x14ac:dyDescent="0.3">
      <c r="A604" s="27" t="s">
        <v>1277</v>
      </c>
      <c r="B604" s="27" t="s">
        <v>128</v>
      </c>
      <c r="C604" s="26" t="s">
        <v>1278</v>
      </c>
      <c r="D604" s="29">
        <v>19.8</v>
      </c>
      <c r="E604" s="29">
        <v>8.1489999999999991</v>
      </c>
      <c r="F604" s="27">
        <v>2016</v>
      </c>
      <c r="G604" s="29">
        <v>7.0133000000000001</v>
      </c>
      <c r="H604" s="28">
        <f t="shared" si="27"/>
        <v>35.420707070707074</v>
      </c>
      <c r="I604" s="30">
        <f t="shared" si="28"/>
        <v>41.156565656565654</v>
      </c>
      <c r="J604" s="31">
        <v>1634</v>
      </c>
      <c r="K604" s="31">
        <v>638</v>
      </c>
      <c r="L604" s="31">
        <v>1680</v>
      </c>
      <c r="M604" s="32">
        <v>15.1</v>
      </c>
      <c r="N604" s="33">
        <f t="shared" si="29"/>
        <v>2.5187616680884733E-2</v>
      </c>
      <c r="O604" s="54"/>
      <c r="Q604" s="54"/>
      <c r="S604" s="54"/>
      <c r="T604" s="54"/>
      <c r="U604" s="54"/>
      <c r="V604" s="54"/>
      <c r="W604" s="54"/>
      <c r="X604" s="54"/>
      <c r="Y604" s="54"/>
      <c r="Z604" s="54"/>
      <c r="AA604" s="54"/>
      <c r="AB604" s="54"/>
      <c r="AC604" s="54"/>
      <c r="AD604" s="54"/>
      <c r="AE604" s="54"/>
      <c r="AF604" s="54"/>
      <c r="AG604" s="54"/>
      <c r="AH604" s="54"/>
    </row>
    <row r="605" spans="1:34" x14ac:dyDescent="0.3">
      <c r="A605" s="34" t="s">
        <v>238</v>
      </c>
      <c r="B605" s="16" t="s">
        <v>20</v>
      </c>
      <c r="C605" s="16" t="s">
        <v>239</v>
      </c>
      <c r="D605" s="35">
        <v>304.89999999999998</v>
      </c>
      <c r="E605" s="35">
        <v>145.10400000000001</v>
      </c>
      <c r="F605" s="16">
        <v>2014</v>
      </c>
      <c r="G605" s="36">
        <v>101.25</v>
      </c>
      <c r="H605" s="28">
        <f t="shared" si="27"/>
        <v>33.207609052148243</v>
      </c>
      <c r="I605" s="30">
        <f t="shared" si="28"/>
        <v>47.590685470646115</v>
      </c>
      <c r="J605" s="48">
        <v>1890</v>
      </c>
      <c r="K605" s="30">
        <v>926</v>
      </c>
      <c r="L605" s="30">
        <v>1337</v>
      </c>
      <c r="M605" s="31">
        <v>27</v>
      </c>
      <c r="N605" s="33">
        <f t="shared" si="29"/>
        <v>2.518025686277572E-2</v>
      </c>
      <c r="O605" s="9"/>
      <c r="Q605" s="4"/>
      <c r="S605" s="8"/>
      <c r="T605" s="8"/>
      <c r="U605" s="8"/>
      <c r="V605" s="4"/>
      <c r="W605" s="8"/>
      <c r="X605" s="8"/>
      <c r="Y605" s="8"/>
      <c r="Z605" s="8"/>
      <c r="AA605" s="8"/>
      <c r="AB605" s="4"/>
      <c r="AC605" s="8"/>
      <c r="AD605" s="8"/>
      <c r="AE605" s="8"/>
      <c r="AF605" s="8"/>
      <c r="AG605" s="8"/>
      <c r="AH605" s="4"/>
    </row>
    <row r="606" spans="1:34" x14ac:dyDescent="0.3">
      <c r="A606" s="27" t="s">
        <v>1335</v>
      </c>
      <c r="B606" s="27" t="s">
        <v>5</v>
      </c>
      <c r="C606" s="26" t="s">
        <v>1336</v>
      </c>
      <c r="D606" s="29">
        <v>197.1</v>
      </c>
      <c r="E606" s="29">
        <v>103</v>
      </c>
      <c r="F606" s="27">
        <v>2018</v>
      </c>
      <c r="G606" s="29">
        <v>58</v>
      </c>
      <c r="H606" s="28">
        <f t="shared" si="27"/>
        <v>29.426686960933537</v>
      </c>
      <c r="I606" s="30">
        <f t="shared" si="28"/>
        <v>52.25773718924404</v>
      </c>
      <c r="J606" s="31">
        <v>2082</v>
      </c>
      <c r="K606" s="31">
        <v>718</v>
      </c>
      <c r="L606" s="31">
        <v>2038</v>
      </c>
      <c r="M606" s="32">
        <v>26</v>
      </c>
      <c r="N606" s="33">
        <f t="shared" si="29"/>
        <v>2.5099777708570623E-2</v>
      </c>
    </row>
    <row r="607" spans="1:34" x14ac:dyDescent="0.3">
      <c r="A607" s="42" t="s">
        <v>336</v>
      </c>
      <c r="B607" s="17" t="s">
        <v>4</v>
      </c>
      <c r="C607" s="17" t="s">
        <v>337</v>
      </c>
      <c r="D607" s="43">
        <v>38.400001525878899</v>
      </c>
      <c r="E607" s="43">
        <v>15.5</v>
      </c>
      <c r="F607" s="17">
        <v>2014</v>
      </c>
      <c r="G607" s="36">
        <v>10</v>
      </c>
      <c r="H607" s="28">
        <f t="shared" si="27"/>
        <v>26.04166563186385</v>
      </c>
      <c r="I607" s="30">
        <f t="shared" si="28"/>
        <v>40.364581729388966</v>
      </c>
      <c r="J607" s="31">
        <v>1621</v>
      </c>
      <c r="K607" s="30">
        <v>567</v>
      </c>
      <c r="L607" s="30">
        <v>1762</v>
      </c>
      <c r="M607" s="41">
        <v>1.9</v>
      </c>
      <c r="N607" s="33">
        <f t="shared" si="29"/>
        <v>2.4901037464151121E-2</v>
      </c>
      <c r="O607" s="9"/>
      <c r="P607" s="10"/>
      <c r="Q607" s="4"/>
      <c r="S607" s="8"/>
      <c r="T607" s="8"/>
      <c r="U607" s="8"/>
      <c r="V607" s="4"/>
      <c r="W607" s="8"/>
      <c r="X607" s="8"/>
      <c r="Y607" s="8"/>
      <c r="Z607" s="8"/>
      <c r="AA607" s="8"/>
      <c r="AB607" s="4"/>
      <c r="AC607" s="8"/>
      <c r="AD607" s="8"/>
      <c r="AE607" s="8"/>
      <c r="AF607" s="8"/>
      <c r="AG607" s="8"/>
      <c r="AH607" s="4"/>
    </row>
    <row r="608" spans="1:34" x14ac:dyDescent="0.3">
      <c r="A608" s="34" t="s">
        <v>240</v>
      </c>
      <c r="B608" s="16" t="s">
        <v>19</v>
      </c>
      <c r="C608" s="16" t="s">
        <v>241</v>
      </c>
      <c r="D608" s="35">
        <v>278.8</v>
      </c>
      <c r="E608" s="35">
        <v>150</v>
      </c>
      <c r="F608" s="16">
        <v>2014</v>
      </c>
      <c r="G608" s="36">
        <v>85.26</v>
      </c>
      <c r="H608" s="28">
        <f t="shared" si="27"/>
        <v>30.581061692969872</v>
      </c>
      <c r="I608" s="30">
        <f t="shared" si="28"/>
        <v>53.80200860832138</v>
      </c>
      <c r="J608" s="48">
        <v>2170</v>
      </c>
      <c r="K608" s="30">
        <v>453</v>
      </c>
      <c r="L608" s="30">
        <v>2823</v>
      </c>
      <c r="M608" s="31">
        <v>16.5</v>
      </c>
      <c r="N608" s="33">
        <f t="shared" si="29"/>
        <v>2.4793552354065152E-2</v>
      </c>
    </row>
    <row r="609" spans="1:34" x14ac:dyDescent="0.3">
      <c r="A609" s="27" t="s">
        <v>1285</v>
      </c>
      <c r="B609" s="27" t="s">
        <v>128</v>
      </c>
      <c r="C609" s="26" t="s">
        <v>1286</v>
      </c>
      <c r="D609" s="29">
        <v>20</v>
      </c>
      <c r="E609" s="29">
        <v>7.9989999999999997</v>
      </c>
      <c r="F609" s="27">
        <v>2014</v>
      </c>
      <c r="G609" s="29">
        <v>7</v>
      </c>
      <c r="H609" s="28">
        <f t="shared" si="27"/>
        <v>35</v>
      </c>
      <c r="I609" s="30">
        <f t="shared" si="28"/>
        <v>39.994999999999997</v>
      </c>
      <c r="J609" s="31">
        <v>1631</v>
      </c>
      <c r="K609" s="31">
        <v>645</v>
      </c>
      <c r="L609" s="31">
        <v>1663</v>
      </c>
      <c r="M609" s="31">
        <v>15.2</v>
      </c>
      <c r="N609" s="33">
        <f t="shared" si="29"/>
        <v>2.4521765787860209E-2</v>
      </c>
    </row>
    <row r="610" spans="1:34" x14ac:dyDescent="0.3">
      <c r="A610" s="27" t="s">
        <v>1295</v>
      </c>
      <c r="B610" s="27" t="s">
        <v>128</v>
      </c>
      <c r="C610" s="26" t="s">
        <v>1296</v>
      </c>
      <c r="D610" s="29">
        <v>20.7</v>
      </c>
      <c r="E610" s="29">
        <v>11.013</v>
      </c>
      <c r="F610" s="27">
        <v>2014</v>
      </c>
      <c r="G610" s="29">
        <v>7</v>
      </c>
      <c r="H610" s="28">
        <f t="shared" si="27"/>
        <v>33.816425120772948</v>
      </c>
      <c r="I610" s="30">
        <f t="shared" si="28"/>
        <v>53.20289855072464</v>
      </c>
      <c r="J610" s="31">
        <v>2187</v>
      </c>
      <c r="K610" s="31">
        <v>467</v>
      </c>
      <c r="L610" s="31">
        <v>2826</v>
      </c>
      <c r="M610" s="32">
        <v>20.100000000000001</v>
      </c>
      <c r="N610" s="33">
        <f t="shared" si="29"/>
        <v>2.4326885482727316E-2</v>
      </c>
      <c r="O610" s="9"/>
      <c r="Q610" s="4"/>
      <c r="S610" s="8"/>
      <c r="T610" s="8"/>
      <c r="U610" s="8"/>
      <c r="V610" s="4"/>
      <c r="W610" s="8"/>
      <c r="X610" s="8"/>
      <c r="Y610" s="8"/>
      <c r="Z610" s="8"/>
      <c r="AA610" s="8"/>
      <c r="AB610" s="4"/>
      <c r="AC610" s="8"/>
      <c r="AD610" s="8"/>
      <c r="AE610" s="8"/>
      <c r="AF610" s="8"/>
      <c r="AG610" s="8"/>
      <c r="AH610" s="4"/>
    </row>
    <row r="611" spans="1:34" x14ac:dyDescent="0.3">
      <c r="A611" s="34" t="s">
        <v>242</v>
      </c>
      <c r="B611" s="16" t="s">
        <v>17</v>
      </c>
      <c r="C611" s="16" t="s">
        <v>243</v>
      </c>
      <c r="D611" s="35">
        <v>26.1</v>
      </c>
      <c r="E611" s="35">
        <v>11.8</v>
      </c>
      <c r="F611" s="16">
        <v>2016</v>
      </c>
      <c r="G611" s="36">
        <v>13.14</v>
      </c>
      <c r="H611" s="28">
        <f t="shared" si="27"/>
        <v>50.344827586206897</v>
      </c>
      <c r="I611" s="30">
        <f t="shared" si="28"/>
        <v>45.21072796934866</v>
      </c>
      <c r="J611" s="48">
        <v>1873</v>
      </c>
      <c r="K611" s="30">
        <v>817</v>
      </c>
      <c r="L611" s="30">
        <v>1528</v>
      </c>
      <c r="M611" s="31">
        <v>25.3</v>
      </c>
      <c r="N611" s="33">
        <f t="shared" si="29"/>
        <v>2.4138135594953904E-2</v>
      </c>
    </row>
    <row r="612" spans="1:34" x14ac:dyDescent="0.3">
      <c r="A612" s="42" t="s">
        <v>378</v>
      </c>
      <c r="B612" s="17" t="s">
        <v>4</v>
      </c>
      <c r="C612" s="17" t="s">
        <v>379</v>
      </c>
      <c r="D612" s="43">
        <v>44.200000762939503</v>
      </c>
      <c r="E612" s="43">
        <v>15.798999786376999</v>
      </c>
      <c r="F612" s="17">
        <v>2016</v>
      </c>
      <c r="G612" s="36">
        <v>12</v>
      </c>
      <c r="H612" s="28">
        <f t="shared" si="27"/>
        <v>27.149320798341869</v>
      </c>
      <c r="I612" s="30">
        <f t="shared" si="28"/>
        <v>35.744342791106988</v>
      </c>
      <c r="J612" s="31">
        <v>1486</v>
      </c>
      <c r="K612" s="30">
        <v>606</v>
      </c>
      <c r="L612" s="30">
        <v>1738</v>
      </c>
      <c r="M612" s="41">
        <v>6.3</v>
      </c>
      <c r="N612" s="33">
        <f t="shared" si="29"/>
        <v>2.4054066481229468E-2</v>
      </c>
      <c r="O612" s="11"/>
      <c r="P612" s="11"/>
      <c r="Q612" s="11"/>
      <c r="R612" s="11"/>
      <c r="S612" s="11"/>
      <c r="T612" s="11"/>
      <c r="U612" s="11"/>
      <c r="V612" s="11"/>
      <c r="W612" s="11"/>
      <c r="X612" s="11"/>
      <c r="Y612" s="11"/>
      <c r="Z612" s="11"/>
      <c r="AA612" s="11"/>
      <c r="AB612" s="11"/>
      <c r="AC612" s="11"/>
      <c r="AD612" s="11"/>
      <c r="AE612" s="11"/>
      <c r="AF612" s="11"/>
      <c r="AG612" s="11"/>
      <c r="AH612" s="11"/>
    </row>
    <row r="613" spans="1:34" x14ac:dyDescent="0.3">
      <c r="A613" s="34" t="s">
        <v>245</v>
      </c>
      <c r="B613" s="16" t="s">
        <v>20</v>
      </c>
      <c r="C613" s="16" t="s">
        <v>246</v>
      </c>
      <c r="D613" s="35">
        <v>314.60000000000002</v>
      </c>
      <c r="E613" s="35">
        <v>141.41999999999999</v>
      </c>
      <c r="F613" s="16">
        <v>2015</v>
      </c>
      <c r="G613" s="36">
        <v>101.25</v>
      </c>
      <c r="H613" s="28">
        <f t="shared" si="27"/>
        <v>32.183725365543545</v>
      </c>
      <c r="I613" s="30">
        <f t="shared" si="28"/>
        <v>44.952320406865859</v>
      </c>
      <c r="J613" s="48">
        <v>1892</v>
      </c>
      <c r="K613" s="30">
        <v>884</v>
      </c>
      <c r="L613" s="30">
        <v>1414</v>
      </c>
      <c r="M613" s="31">
        <v>26.5</v>
      </c>
      <c r="N613" s="33">
        <f t="shared" si="29"/>
        <v>2.3759154549083436E-2</v>
      </c>
      <c r="O613" s="54"/>
      <c r="Q613" s="54"/>
      <c r="S613" s="54"/>
      <c r="T613" s="54"/>
      <c r="U613" s="54"/>
      <c r="V613" s="54"/>
      <c r="W613" s="54"/>
      <c r="X613" s="54"/>
      <c r="Y613" s="54"/>
      <c r="Z613" s="54"/>
      <c r="AA613" s="54"/>
      <c r="AB613" s="54"/>
      <c r="AC613" s="54"/>
      <c r="AD613" s="54"/>
      <c r="AE613" s="54"/>
      <c r="AF613" s="54"/>
      <c r="AG613" s="54"/>
      <c r="AH613" s="54"/>
    </row>
    <row r="614" spans="1:34" x14ac:dyDescent="0.3">
      <c r="A614" s="27" t="s">
        <v>1207</v>
      </c>
      <c r="B614" s="27" t="s">
        <v>128</v>
      </c>
      <c r="C614" s="26" t="s">
        <v>1208</v>
      </c>
      <c r="D614" s="29">
        <v>16.899999999999999</v>
      </c>
      <c r="E614" s="29">
        <v>6.2845000000000004</v>
      </c>
      <c r="F614" s="27">
        <v>2014</v>
      </c>
      <c r="G614" s="29">
        <v>6.8</v>
      </c>
      <c r="H614" s="28">
        <f t="shared" si="27"/>
        <v>40.236686390532547</v>
      </c>
      <c r="I614" s="30">
        <f t="shared" si="28"/>
        <v>37.18639053254438</v>
      </c>
      <c r="J614" s="31">
        <v>1621</v>
      </c>
      <c r="K614" s="31">
        <v>642</v>
      </c>
      <c r="L614" s="31">
        <v>1654</v>
      </c>
      <c r="M614" s="32">
        <v>15.1</v>
      </c>
      <c r="N614" s="33">
        <f t="shared" si="29"/>
        <v>2.2940401315573337E-2</v>
      </c>
    </row>
    <row r="615" spans="1:34" x14ac:dyDescent="0.3">
      <c r="A615" s="34" t="s">
        <v>247</v>
      </c>
      <c r="B615" s="16" t="s">
        <v>10</v>
      </c>
      <c r="C615" s="16" t="s">
        <v>248</v>
      </c>
      <c r="D615" s="35">
        <v>8.5</v>
      </c>
      <c r="E615" s="35">
        <v>4.0345820000000003</v>
      </c>
      <c r="F615" s="16">
        <v>2015</v>
      </c>
      <c r="G615" s="36">
        <v>5</v>
      </c>
      <c r="H615" s="28">
        <f t="shared" si="27"/>
        <v>58.823529411764703</v>
      </c>
      <c r="I615" s="30">
        <f t="shared" si="28"/>
        <v>47.465670588235298</v>
      </c>
      <c r="J615" s="48">
        <v>2080</v>
      </c>
      <c r="K615" s="30">
        <v>612</v>
      </c>
      <c r="L615" s="30">
        <v>2281</v>
      </c>
      <c r="M615" s="31">
        <v>18.5</v>
      </c>
      <c r="N615" s="33">
        <f t="shared" si="29"/>
        <v>2.2820033936651586E-2</v>
      </c>
    </row>
    <row r="616" spans="1:34" x14ac:dyDescent="0.3">
      <c r="A616" s="27" t="s">
        <v>1103</v>
      </c>
      <c r="B616" s="27" t="s">
        <v>22</v>
      </c>
      <c r="C616" s="26" t="s">
        <v>1104</v>
      </c>
      <c r="D616" s="29">
        <v>6.5</v>
      </c>
      <c r="E616" s="29">
        <v>1.4813639999999999</v>
      </c>
      <c r="F616" s="27">
        <v>2016</v>
      </c>
      <c r="G616" s="29">
        <v>3</v>
      </c>
      <c r="H616" s="28">
        <f t="shared" si="27"/>
        <v>46.153846153846153</v>
      </c>
      <c r="I616" s="30">
        <f t="shared" si="28"/>
        <v>22.790215384615383</v>
      </c>
      <c r="J616" s="31">
        <v>1002</v>
      </c>
      <c r="K616" s="31">
        <v>570</v>
      </c>
      <c r="L616" s="31">
        <v>855</v>
      </c>
      <c r="M616" s="32">
        <v>9.9</v>
      </c>
      <c r="N616" s="33">
        <f t="shared" si="29"/>
        <v>2.2744725932749885E-2</v>
      </c>
    </row>
    <row r="617" spans="1:34" x14ac:dyDescent="0.3">
      <c r="A617" s="27" t="s">
        <v>1217</v>
      </c>
      <c r="B617" s="27" t="s">
        <v>128</v>
      </c>
      <c r="C617" s="26" t="s">
        <v>1218</v>
      </c>
      <c r="D617" s="29">
        <v>323.5</v>
      </c>
      <c r="E617" s="29">
        <v>120.3</v>
      </c>
      <c r="F617" s="27">
        <v>2015</v>
      </c>
      <c r="G617" s="29">
        <v>128</v>
      </c>
      <c r="H617" s="28">
        <f t="shared" si="27"/>
        <v>39.567233384853168</v>
      </c>
      <c r="I617" s="30">
        <f t="shared" si="28"/>
        <v>37.187017001545598</v>
      </c>
      <c r="J617" s="31">
        <v>1640</v>
      </c>
      <c r="K617" s="31">
        <v>643</v>
      </c>
      <c r="L617" s="31">
        <v>1680</v>
      </c>
      <c r="M617" s="32">
        <v>15.2</v>
      </c>
      <c r="N617" s="33">
        <f t="shared" si="29"/>
        <v>2.2675010366796096E-2</v>
      </c>
    </row>
    <row r="618" spans="1:34" x14ac:dyDescent="0.3">
      <c r="A618" s="27" t="s">
        <v>1267</v>
      </c>
      <c r="B618" s="27" t="s">
        <v>0</v>
      </c>
      <c r="C618" s="26" t="s">
        <v>1268</v>
      </c>
      <c r="D618" s="29">
        <v>30.7</v>
      </c>
      <c r="E618" s="29">
        <v>12</v>
      </c>
      <c r="F618" s="27">
        <v>2016</v>
      </c>
      <c r="G618" s="29">
        <v>11.18</v>
      </c>
      <c r="H618" s="28">
        <f t="shared" si="27"/>
        <v>36.416938110749186</v>
      </c>
      <c r="I618" s="30">
        <f t="shared" si="28"/>
        <v>39.087947882736159</v>
      </c>
      <c r="J618" s="31">
        <v>1733</v>
      </c>
      <c r="K618" s="31">
        <v>551</v>
      </c>
      <c r="L618" s="31">
        <v>2042</v>
      </c>
      <c r="M618" s="32">
        <v>11.4</v>
      </c>
      <c r="N618" s="33">
        <f t="shared" si="29"/>
        <v>2.2555076677862759E-2</v>
      </c>
    </row>
    <row r="619" spans="1:34" x14ac:dyDescent="0.3">
      <c r="A619" s="27" t="s">
        <v>1337</v>
      </c>
      <c r="B619" s="27" t="s">
        <v>128</v>
      </c>
      <c r="C619" s="26" t="s">
        <v>1338</v>
      </c>
      <c r="D619" s="29">
        <v>24</v>
      </c>
      <c r="E619" s="29">
        <v>8.8140000000000001</v>
      </c>
      <c r="F619" s="27">
        <v>2016</v>
      </c>
      <c r="G619" s="29">
        <v>6.84</v>
      </c>
      <c r="H619" s="28">
        <f t="shared" si="27"/>
        <v>28.5</v>
      </c>
      <c r="I619" s="30">
        <f t="shared" si="28"/>
        <v>36.725000000000001</v>
      </c>
      <c r="J619" s="31">
        <v>1634</v>
      </c>
      <c r="K619" s="31">
        <v>639</v>
      </c>
      <c r="L619" s="31">
        <v>1681</v>
      </c>
      <c r="M619" s="32">
        <v>15.1</v>
      </c>
      <c r="N619" s="33">
        <f t="shared" si="29"/>
        <v>2.2475520195838435E-2</v>
      </c>
    </row>
    <row r="620" spans="1:34" x14ac:dyDescent="0.3">
      <c r="A620" s="27" t="s">
        <v>1329</v>
      </c>
      <c r="B620" s="27" t="s">
        <v>128</v>
      </c>
      <c r="C620" s="26" t="s">
        <v>1330</v>
      </c>
      <c r="D620" s="29">
        <v>23.6</v>
      </c>
      <c r="E620" s="29">
        <v>8.1419999999999995</v>
      </c>
      <c r="F620" s="27">
        <v>2016</v>
      </c>
      <c r="G620" s="29">
        <v>7</v>
      </c>
      <c r="H620" s="28">
        <f t="shared" si="27"/>
        <v>29.661016949152543</v>
      </c>
      <c r="I620" s="30">
        <f t="shared" si="28"/>
        <v>34.499999999999993</v>
      </c>
      <c r="J620" s="31">
        <v>1609</v>
      </c>
      <c r="K620" s="31">
        <v>641</v>
      </c>
      <c r="L620" s="31">
        <v>1641</v>
      </c>
      <c r="M620" s="32">
        <v>14.8</v>
      </c>
      <c r="N620" s="33">
        <f t="shared" si="29"/>
        <v>2.1441889372280917E-2</v>
      </c>
    </row>
    <row r="621" spans="1:34" x14ac:dyDescent="0.3">
      <c r="A621" s="27" t="s">
        <v>1341</v>
      </c>
      <c r="B621" s="27" t="s">
        <v>128</v>
      </c>
      <c r="C621" s="26" t="s">
        <v>1342</v>
      </c>
      <c r="D621" s="29">
        <v>21.1</v>
      </c>
      <c r="E621" s="29">
        <v>7.2830000000000004</v>
      </c>
      <c r="F621" s="27">
        <v>2015</v>
      </c>
      <c r="G621" s="29">
        <v>4.9005000000000001</v>
      </c>
      <c r="H621" s="28">
        <f t="shared" si="27"/>
        <v>23.225118483412324</v>
      </c>
      <c r="I621" s="30">
        <f t="shared" si="28"/>
        <v>34.51658767772512</v>
      </c>
      <c r="J621" s="31">
        <v>1634</v>
      </c>
      <c r="K621" s="31">
        <v>649</v>
      </c>
      <c r="L621" s="31">
        <v>1662</v>
      </c>
      <c r="M621" s="32">
        <v>15.3</v>
      </c>
      <c r="N621" s="33">
        <f t="shared" si="29"/>
        <v>2.1123982666906439E-2</v>
      </c>
      <c r="Q621" s="54"/>
      <c r="S621" s="54"/>
      <c r="T621" s="54"/>
      <c r="U621" s="54"/>
      <c r="V621" s="54"/>
      <c r="W621" s="54"/>
      <c r="X621" s="54"/>
      <c r="Y621" s="54"/>
      <c r="Z621" s="54"/>
      <c r="AA621" s="54"/>
      <c r="AB621" s="54"/>
      <c r="AC621" s="54"/>
      <c r="AD621" s="54"/>
      <c r="AE621" s="54"/>
      <c r="AF621" s="54"/>
      <c r="AG621" s="54"/>
      <c r="AH621" s="54"/>
    </row>
    <row r="622" spans="1:34" x14ac:dyDescent="0.3">
      <c r="A622" s="34" t="s">
        <v>249</v>
      </c>
      <c r="B622" s="16" t="s">
        <v>19</v>
      </c>
      <c r="C622" s="16" t="s">
        <v>250</v>
      </c>
      <c r="D622" s="35">
        <v>463.9</v>
      </c>
      <c r="E622" s="35">
        <v>216</v>
      </c>
      <c r="F622" s="16">
        <v>2014</v>
      </c>
      <c r="G622" s="36">
        <v>94.3</v>
      </c>
      <c r="H622" s="28">
        <f t="shared" si="27"/>
        <v>20.327656822591077</v>
      </c>
      <c r="I622" s="30">
        <f t="shared" si="28"/>
        <v>46.561758999784438</v>
      </c>
      <c r="J622" s="48">
        <v>2225</v>
      </c>
      <c r="K622" s="30">
        <v>472</v>
      </c>
      <c r="L622" s="30">
        <v>2822</v>
      </c>
      <c r="M622" s="31">
        <v>19</v>
      </c>
      <c r="N622" s="33">
        <f t="shared" si="29"/>
        <v>2.0926633258330083E-2</v>
      </c>
      <c r="Q622" s="4"/>
      <c r="S622" s="8"/>
      <c r="T622" s="8"/>
      <c r="U622" s="8"/>
      <c r="V622" s="4"/>
      <c r="W622" s="8"/>
      <c r="X622" s="8"/>
      <c r="Y622" s="8"/>
      <c r="Z622" s="8"/>
      <c r="AA622" s="8"/>
      <c r="AB622" s="4"/>
      <c r="AC622" s="8"/>
      <c r="AD622" s="8"/>
      <c r="AE622" s="8"/>
      <c r="AF622" s="8"/>
      <c r="AG622" s="8"/>
      <c r="AH622" s="4"/>
    </row>
    <row r="623" spans="1:34" x14ac:dyDescent="0.3">
      <c r="A623" s="27" t="s">
        <v>1343</v>
      </c>
      <c r="B623" s="27" t="s">
        <v>128</v>
      </c>
      <c r="C623" s="26" t="s">
        <v>1344</v>
      </c>
      <c r="D623" s="29">
        <v>31.8</v>
      </c>
      <c r="E623" s="29">
        <v>10.8215</v>
      </c>
      <c r="F623" s="27">
        <v>2015</v>
      </c>
      <c r="G623" s="29">
        <v>6.9996</v>
      </c>
      <c r="H623" s="28">
        <f t="shared" si="27"/>
        <v>22.01132075471698</v>
      </c>
      <c r="I623" s="30">
        <f t="shared" si="28"/>
        <v>34.029874213836479</v>
      </c>
      <c r="J623" s="31">
        <v>1636</v>
      </c>
      <c r="K623" s="31">
        <v>641</v>
      </c>
      <c r="L623" s="31">
        <v>1678</v>
      </c>
      <c r="M623" s="32">
        <v>15.1</v>
      </c>
      <c r="N623" s="33">
        <f t="shared" si="29"/>
        <v>2.0800656609924497E-2</v>
      </c>
    </row>
    <row r="624" spans="1:34" x14ac:dyDescent="0.3">
      <c r="A624" s="34" t="s">
        <v>251</v>
      </c>
      <c r="B624" s="16" t="s">
        <v>19</v>
      </c>
      <c r="C624" s="16" t="s">
        <v>252</v>
      </c>
      <c r="D624" s="35">
        <v>116.7</v>
      </c>
      <c r="E624" s="35">
        <v>51.2</v>
      </c>
      <c r="F624" s="16">
        <v>2014</v>
      </c>
      <c r="G624" s="36">
        <v>22</v>
      </c>
      <c r="H624" s="28">
        <f t="shared" si="27"/>
        <v>18.851756640959724</v>
      </c>
      <c r="I624" s="30">
        <f t="shared" si="28"/>
        <v>43.873179091688087</v>
      </c>
      <c r="J624" s="48">
        <v>2151</v>
      </c>
      <c r="K624" s="30">
        <v>487</v>
      </c>
      <c r="L624" s="30">
        <v>2711</v>
      </c>
      <c r="M624" s="31">
        <v>18.7</v>
      </c>
      <c r="N624" s="33">
        <f t="shared" si="29"/>
        <v>2.0396642999390091E-2</v>
      </c>
    </row>
    <row r="625" spans="1:34" x14ac:dyDescent="0.3">
      <c r="A625" s="27" t="s">
        <v>1349</v>
      </c>
      <c r="B625" s="27" t="s">
        <v>4</v>
      </c>
      <c r="C625" s="26" t="s">
        <v>1350</v>
      </c>
      <c r="D625" s="29">
        <v>192</v>
      </c>
      <c r="E625" s="29">
        <v>62.3</v>
      </c>
      <c r="F625" s="27">
        <v>2017</v>
      </c>
      <c r="G625" s="29">
        <v>40</v>
      </c>
      <c r="H625" s="28">
        <f t="shared" si="27"/>
        <v>20.833333333333332</v>
      </c>
      <c r="I625" s="30">
        <f t="shared" si="28"/>
        <v>32.447916666666664</v>
      </c>
      <c r="J625" s="31">
        <v>1665</v>
      </c>
      <c r="K625" s="31">
        <v>794</v>
      </c>
      <c r="L625" s="31">
        <v>1473</v>
      </c>
      <c r="M625" s="32">
        <v>10.199999999999999</v>
      </c>
      <c r="N625" s="33">
        <f t="shared" si="29"/>
        <v>1.9488238238238236E-2</v>
      </c>
    </row>
    <row r="626" spans="1:34" x14ac:dyDescent="0.3">
      <c r="A626" s="27" t="s">
        <v>1351</v>
      </c>
      <c r="B626" s="27" t="s">
        <v>4</v>
      </c>
      <c r="C626" s="26" t="s">
        <v>1352</v>
      </c>
      <c r="D626" s="29">
        <v>46.8</v>
      </c>
      <c r="E626" s="29">
        <v>14.52</v>
      </c>
      <c r="F626" s="27">
        <v>2014</v>
      </c>
      <c r="G626" s="29">
        <v>10</v>
      </c>
      <c r="H626" s="28">
        <f t="shared" si="27"/>
        <v>21.367521367521366</v>
      </c>
      <c r="I626" s="30">
        <f t="shared" si="28"/>
        <v>31.025641025641026</v>
      </c>
      <c r="J626" s="31">
        <v>1664</v>
      </c>
      <c r="K626" s="31">
        <v>733</v>
      </c>
      <c r="L626" s="31">
        <v>1585</v>
      </c>
      <c r="M626" s="32">
        <v>10</v>
      </c>
      <c r="N626" s="33">
        <f t="shared" si="29"/>
        <v>1.8645216962524656E-2</v>
      </c>
    </row>
    <row r="627" spans="1:34" x14ac:dyDescent="0.3">
      <c r="A627" s="27" t="s">
        <v>1353</v>
      </c>
      <c r="B627" s="27" t="s">
        <v>128</v>
      </c>
      <c r="C627" s="26" t="s">
        <v>1354</v>
      </c>
      <c r="D627" s="29">
        <v>256.60000000000002</v>
      </c>
      <c r="E627" s="29">
        <v>77.290700000000001</v>
      </c>
      <c r="F627" s="27">
        <v>2014</v>
      </c>
      <c r="G627" s="29">
        <v>46.6</v>
      </c>
      <c r="H627" s="28">
        <f t="shared" si="27"/>
        <v>18.160561184723306</v>
      </c>
      <c r="I627" s="30">
        <f t="shared" si="28"/>
        <v>30.121083398285268</v>
      </c>
      <c r="J627" s="31">
        <v>1806</v>
      </c>
      <c r="K627" s="31">
        <v>660</v>
      </c>
      <c r="L627" s="31">
        <v>1787</v>
      </c>
      <c r="M627" s="32">
        <v>21.5</v>
      </c>
      <c r="N627" s="33">
        <f t="shared" si="29"/>
        <v>1.6678340752095941E-2</v>
      </c>
    </row>
    <row r="628" spans="1:34" x14ac:dyDescent="0.3">
      <c r="A628" s="27" t="s">
        <v>1355</v>
      </c>
      <c r="B628" s="27" t="s">
        <v>128</v>
      </c>
      <c r="C628" s="26" t="s">
        <v>1356</v>
      </c>
      <c r="D628" s="29">
        <v>89.8</v>
      </c>
      <c r="E628" s="29">
        <v>22.053000000000001</v>
      </c>
      <c r="F628" s="27">
        <v>2016</v>
      </c>
      <c r="G628" s="29">
        <v>28</v>
      </c>
      <c r="H628" s="28">
        <f t="shared" si="27"/>
        <v>31.180400890868597</v>
      </c>
      <c r="I628" s="30">
        <f t="shared" si="28"/>
        <v>24.557906458797326</v>
      </c>
      <c r="J628" s="31">
        <v>1737</v>
      </c>
      <c r="K628" s="31">
        <v>663</v>
      </c>
      <c r="L628" s="31">
        <v>1755</v>
      </c>
      <c r="M628" s="32">
        <v>17.8</v>
      </c>
      <c r="N628" s="33">
        <f t="shared" si="29"/>
        <v>1.4138115405179808E-2</v>
      </c>
      <c r="O628" s="59"/>
      <c r="P628" s="54"/>
      <c r="Q628" s="54"/>
      <c r="S628" s="54"/>
      <c r="T628" s="54"/>
      <c r="U628" s="54"/>
      <c r="V628" s="54"/>
      <c r="W628" s="54"/>
      <c r="X628" s="54"/>
      <c r="Y628" s="54"/>
      <c r="Z628" s="54"/>
      <c r="AA628" s="54"/>
      <c r="AB628" s="54"/>
      <c r="AC628" s="54"/>
      <c r="AD628" s="54"/>
      <c r="AE628" s="54"/>
      <c r="AF628" s="54"/>
      <c r="AG628" s="54"/>
      <c r="AH628" s="54"/>
    </row>
    <row r="629" spans="1:34" x14ac:dyDescent="0.3">
      <c r="A629" s="27" t="s">
        <v>1357</v>
      </c>
      <c r="B629" s="27" t="s">
        <v>4</v>
      </c>
      <c r="C629" s="26" t="s">
        <v>1358</v>
      </c>
      <c r="D629" s="29">
        <v>65.2</v>
      </c>
      <c r="E629" s="29">
        <v>12</v>
      </c>
      <c r="F629" s="27">
        <v>2014</v>
      </c>
      <c r="G629" s="29">
        <v>10</v>
      </c>
      <c r="H629" s="28">
        <f t="shared" si="27"/>
        <v>15.337423312883436</v>
      </c>
      <c r="I629" s="30">
        <f t="shared" si="28"/>
        <v>18.404907975460123</v>
      </c>
      <c r="J629" s="31">
        <v>1423</v>
      </c>
      <c r="K629" s="31">
        <v>742</v>
      </c>
      <c r="L629" s="31">
        <v>1141</v>
      </c>
      <c r="M629" s="32">
        <v>11.8</v>
      </c>
      <c r="N629" s="33">
        <f t="shared" si="29"/>
        <v>1.2933877705874999E-2</v>
      </c>
      <c r="O629" s="59"/>
    </row>
    <row r="630" spans="1:34" x14ac:dyDescent="0.3">
      <c r="A630"/>
      <c r="B630"/>
      <c r="C630"/>
      <c r="D630"/>
      <c r="E630"/>
      <c r="F630"/>
      <c r="G630"/>
      <c r="H630" s="11"/>
      <c r="I630"/>
      <c r="J630"/>
      <c r="L630"/>
      <c r="M630"/>
      <c r="N630"/>
      <c r="O630" s="59"/>
      <c r="P630" s="10"/>
      <c r="Q630" s="4"/>
      <c r="S630" s="8"/>
      <c r="T630" s="8"/>
      <c r="U630" s="8"/>
      <c r="V630" s="4"/>
      <c r="W630" s="8"/>
      <c r="X630" s="8"/>
      <c r="Y630" s="13"/>
      <c r="Z630" s="13"/>
      <c r="AA630" s="8"/>
      <c r="AB630" s="4"/>
      <c r="AC630" s="8"/>
      <c r="AD630" s="8"/>
      <c r="AE630" s="8"/>
      <c r="AF630" s="8"/>
      <c r="AG630" s="8"/>
      <c r="AH630" s="4"/>
    </row>
    <row r="631" spans="1:34" x14ac:dyDescent="0.3">
      <c r="A631"/>
      <c r="B631"/>
      <c r="C631"/>
      <c r="D631"/>
      <c r="E631"/>
      <c r="F631"/>
      <c r="G631"/>
      <c r="H631" s="11"/>
      <c r="I631"/>
      <c r="J631"/>
      <c r="L631"/>
      <c r="M631"/>
      <c r="N631"/>
      <c r="O631" s="59"/>
    </row>
    <row r="632" spans="1:34" x14ac:dyDescent="0.3">
      <c r="A632" s="98" t="s">
        <v>1449</v>
      </c>
      <c r="C632"/>
      <c r="D632"/>
      <c r="E632"/>
      <c r="F632"/>
      <c r="G632"/>
      <c r="H632" s="11"/>
      <c r="I632"/>
      <c r="J632"/>
      <c r="L632"/>
      <c r="O632" s="59"/>
    </row>
    <row r="633" spans="1:34" x14ac:dyDescent="0.3">
      <c r="A633" t="s">
        <v>1446</v>
      </c>
      <c r="C633"/>
      <c r="D633"/>
      <c r="E633"/>
      <c r="F633"/>
      <c r="G633"/>
      <c r="H633" s="11"/>
      <c r="I633"/>
      <c r="J633"/>
      <c r="L633"/>
      <c r="O633" s="59"/>
      <c r="P633" s="10"/>
      <c r="Q633" s="4"/>
      <c r="S633" s="8"/>
      <c r="T633" s="8"/>
      <c r="U633" s="8"/>
      <c r="V633" s="4"/>
      <c r="W633" s="8"/>
      <c r="X633" s="8"/>
      <c r="Y633" s="8"/>
      <c r="Z633" s="8"/>
      <c r="AA633" s="8"/>
      <c r="AB633" s="4"/>
      <c r="AC633" s="8"/>
      <c r="AD633" s="8"/>
      <c r="AE633" s="8"/>
      <c r="AF633" s="8"/>
      <c r="AG633" s="8"/>
      <c r="AH633" s="4"/>
    </row>
    <row r="634" spans="1:34" x14ac:dyDescent="0.3">
      <c r="A634" s="96" t="s">
        <v>1445</v>
      </c>
      <c r="B634"/>
      <c r="C634"/>
      <c r="D634"/>
      <c r="E634"/>
      <c r="F634"/>
      <c r="G634"/>
      <c r="H634" s="11"/>
      <c r="I634"/>
      <c r="J634"/>
      <c r="L634"/>
      <c r="O634" s="59"/>
    </row>
    <row r="635" spans="1:34" x14ac:dyDescent="0.3">
      <c r="A635" s="14" t="s">
        <v>1447</v>
      </c>
      <c r="B635"/>
      <c r="C635"/>
      <c r="D635"/>
      <c r="E635"/>
      <c r="F635"/>
      <c r="G635"/>
      <c r="H635" s="11"/>
      <c r="I635"/>
      <c r="J635"/>
      <c r="L635"/>
      <c r="M635"/>
      <c r="N635"/>
      <c r="O635" s="59"/>
    </row>
    <row r="636" spans="1:34" x14ac:dyDescent="0.3">
      <c r="B636"/>
      <c r="C636"/>
      <c r="D636"/>
      <c r="E636"/>
      <c r="F636"/>
      <c r="G636"/>
      <c r="H636" s="11"/>
      <c r="I636"/>
      <c r="J636"/>
      <c r="L636"/>
      <c r="M636"/>
      <c r="N636"/>
      <c r="O636" s="59"/>
    </row>
    <row r="637" spans="1:34" x14ac:dyDescent="0.3">
      <c r="A637" t="s">
        <v>1448</v>
      </c>
      <c r="B637"/>
      <c r="C637"/>
      <c r="D637"/>
      <c r="E637"/>
      <c r="F637"/>
      <c r="G637"/>
      <c r="H637" s="11"/>
      <c r="I637"/>
      <c r="J637"/>
      <c r="L637"/>
      <c r="M637"/>
      <c r="N637"/>
      <c r="O637" s="59"/>
    </row>
    <row r="638" spans="1:34" x14ac:dyDescent="0.3">
      <c r="A638" s="96" t="s">
        <v>1441</v>
      </c>
      <c r="B638"/>
      <c r="C638"/>
      <c r="D638"/>
      <c r="E638"/>
      <c r="F638"/>
      <c r="G638"/>
      <c r="H638" s="11"/>
      <c r="I638"/>
      <c r="J638"/>
      <c r="L638"/>
      <c r="M638"/>
      <c r="N638"/>
      <c r="O638" s="59"/>
    </row>
    <row r="639" spans="1:34" x14ac:dyDescent="0.3">
      <c r="B639"/>
      <c r="C639"/>
      <c r="D639"/>
      <c r="E639"/>
      <c r="F639"/>
      <c r="G639"/>
      <c r="H639" s="11"/>
      <c r="I639"/>
      <c r="J639"/>
      <c r="L639"/>
      <c r="M639"/>
      <c r="N639"/>
      <c r="O639" s="59"/>
    </row>
    <row r="640" spans="1:34" x14ac:dyDescent="0.3">
      <c r="A640" s="14" t="s">
        <v>1455</v>
      </c>
      <c r="B640"/>
      <c r="C640"/>
      <c r="D640"/>
      <c r="E640"/>
      <c r="F640"/>
      <c r="G640"/>
      <c r="H640" s="11"/>
      <c r="I640"/>
      <c r="J640"/>
      <c r="L640"/>
      <c r="M640"/>
      <c r="N640"/>
      <c r="O640" s="59"/>
      <c r="P640" s="10"/>
      <c r="Q640" s="4"/>
      <c r="S640" s="8"/>
      <c r="T640" s="8"/>
      <c r="U640" s="8"/>
      <c r="V640" s="4"/>
      <c r="W640" s="8"/>
      <c r="X640" s="8"/>
      <c r="Y640" s="8"/>
      <c r="Z640" s="8"/>
      <c r="AA640" s="8"/>
      <c r="AB640" s="4"/>
      <c r="AC640" s="8"/>
      <c r="AD640" s="8"/>
      <c r="AE640" s="8"/>
      <c r="AF640" s="8"/>
      <c r="AG640" s="8"/>
      <c r="AH640" s="4"/>
    </row>
    <row r="641" spans="1:34" x14ac:dyDescent="0.3">
      <c r="B641"/>
      <c r="C641"/>
      <c r="D641"/>
      <c r="E641"/>
      <c r="F641"/>
      <c r="G641"/>
      <c r="H641" s="11"/>
      <c r="I641"/>
      <c r="J641"/>
      <c r="L641"/>
      <c r="M641"/>
      <c r="N641"/>
      <c r="O641" s="59"/>
    </row>
    <row r="642" spans="1:34" x14ac:dyDescent="0.3">
      <c r="B642"/>
      <c r="C642"/>
      <c r="D642"/>
      <c r="E642"/>
      <c r="F642"/>
      <c r="G642"/>
      <c r="H642" s="11"/>
      <c r="I642"/>
      <c r="J642" s="54"/>
      <c r="L642"/>
      <c r="M642"/>
      <c r="N642"/>
      <c r="O642" s="59"/>
    </row>
    <row r="643" spans="1:34" x14ac:dyDescent="0.3">
      <c r="A643"/>
      <c r="B643"/>
      <c r="C643"/>
      <c r="D643"/>
      <c r="E643"/>
      <c r="F643"/>
      <c r="G643"/>
      <c r="H643" s="11"/>
      <c r="I643"/>
      <c r="J643"/>
      <c r="L643"/>
      <c r="M643"/>
      <c r="N643"/>
      <c r="O643" s="59"/>
    </row>
    <row r="644" spans="1:34" x14ac:dyDescent="0.3">
      <c r="A644"/>
      <c r="B644"/>
      <c r="C644"/>
      <c r="D644"/>
      <c r="E644"/>
      <c r="F644"/>
      <c r="G644"/>
      <c r="H644" s="11"/>
      <c r="I644"/>
      <c r="J644"/>
      <c r="L644"/>
      <c r="M644"/>
      <c r="N644"/>
      <c r="O644" s="59"/>
    </row>
    <row r="645" spans="1:34" x14ac:dyDescent="0.3">
      <c r="A645"/>
      <c r="B645"/>
      <c r="C645"/>
      <c r="D645"/>
      <c r="E645"/>
      <c r="F645"/>
      <c r="G645"/>
      <c r="H645" s="11"/>
      <c r="I645"/>
      <c r="J645"/>
      <c r="L645"/>
      <c r="M645"/>
      <c r="N645"/>
      <c r="O645" s="59"/>
    </row>
    <row r="646" spans="1:34" x14ac:dyDescent="0.3">
      <c r="A646"/>
      <c r="B646"/>
      <c r="C646"/>
      <c r="D646"/>
      <c r="E646"/>
      <c r="F646"/>
      <c r="G646"/>
      <c r="H646" s="11"/>
      <c r="I646"/>
      <c r="J646"/>
      <c r="L646"/>
      <c r="M646"/>
      <c r="N646"/>
      <c r="O646" s="59"/>
    </row>
    <row r="647" spans="1:34" x14ac:dyDescent="0.3">
      <c r="A647"/>
      <c r="B647"/>
      <c r="C647"/>
      <c r="D647"/>
      <c r="E647"/>
      <c r="F647"/>
      <c r="G647"/>
      <c r="H647" s="11"/>
      <c r="I647"/>
      <c r="J647"/>
      <c r="L647"/>
      <c r="M647"/>
      <c r="N647"/>
      <c r="O647" s="59"/>
    </row>
    <row r="648" spans="1:34" x14ac:dyDescent="0.3">
      <c r="A648"/>
      <c r="B648"/>
      <c r="C648"/>
      <c r="D648"/>
      <c r="E648"/>
      <c r="F648"/>
      <c r="G648"/>
      <c r="H648" s="11"/>
      <c r="I648"/>
      <c r="J648"/>
      <c r="L648"/>
      <c r="M648"/>
      <c r="N648"/>
      <c r="O648" s="59"/>
    </row>
    <row r="649" spans="1:34" x14ac:dyDescent="0.3">
      <c r="A649"/>
      <c r="B649"/>
      <c r="C649"/>
      <c r="D649"/>
      <c r="E649"/>
      <c r="F649"/>
      <c r="G649"/>
      <c r="H649" s="11"/>
      <c r="I649"/>
      <c r="J649"/>
      <c r="L649"/>
      <c r="M649"/>
      <c r="N649"/>
      <c r="O649" s="59"/>
      <c r="Q649" s="4"/>
      <c r="S649" s="8"/>
      <c r="T649" s="8"/>
      <c r="V649" s="4"/>
      <c r="W649" s="8"/>
      <c r="X649" s="8"/>
      <c r="Y649" s="8"/>
      <c r="Z649" s="8"/>
      <c r="AA649" s="8"/>
      <c r="AB649" s="4"/>
      <c r="AC649" s="8"/>
      <c r="AD649" s="8"/>
      <c r="AE649" s="8"/>
      <c r="AF649" s="8"/>
      <c r="AG649" s="8"/>
      <c r="AH649" s="4"/>
    </row>
    <row r="650" spans="1:34" x14ac:dyDescent="0.3">
      <c r="A650"/>
      <c r="B650"/>
      <c r="C650"/>
      <c r="D650"/>
      <c r="E650"/>
      <c r="F650"/>
      <c r="G650"/>
      <c r="H650" s="11"/>
      <c r="I650"/>
      <c r="J650"/>
      <c r="L650"/>
      <c r="M650"/>
      <c r="N650"/>
      <c r="O650" s="59"/>
    </row>
    <row r="651" spans="1:34" x14ac:dyDescent="0.3">
      <c r="A651"/>
      <c r="B651"/>
      <c r="C651"/>
      <c r="D651"/>
      <c r="E651"/>
      <c r="F651"/>
      <c r="G651"/>
      <c r="H651" s="11"/>
      <c r="I651"/>
      <c r="J651"/>
      <c r="L651"/>
      <c r="M651"/>
      <c r="N651"/>
      <c r="O651" s="59"/>
    </row>
    <row r="652" spans="1:34" x14ac:dyDescent="0.3">
      <c r="A652"/>
      <c r="B652"/>
      <c r="C652"/>
      <c r="D652"/>
      <c r="E652"/>
      <c r="F652"/>
      <c r="G652"/>
      <c r="H652" s="11"/>
      <c r="I652"/>
      <c r="J652"/>
      <c r="L652"/>
      <c r="M652"/>
      <c r="N652"/>
      <c r="O652" s="59"/>
    </row>
    <row r="653" spans="1:34" x14ac:dyDescent="0.3">
      <c r="A653"/>
      <c r="B653"/>
      <c r="C653"/>
      <c r="D653"/>
      <c r="E653"/>
      <c r="F653"/>
      <c r="G653"/>
      <c r="H653" s="11"/>
      <c r="I653"/>
      <c r="J653"/>
      <c r="L653"/>
      <c r="M653"/>
      <c r="N653"/>
      <c r="O653" s="59"/>
    </row>
    <row r="654" spans="1:34" x14ac:dyDescent="0.3">
      <c r="A654"/>
      <c r="B654"/>
      <c r="C654"/>
      <c r="D654"/>
      <c r="E654"/>
      <c r="F654"/>
      <c r="G654"/>
      <c r="H654" s="11"/>
      <c r="I654"/>
      <c r="J654"/>
      <c r="L654"/>
      <c r="M654"/>
      <c r="N654"/>
      <c r="O654" s="59"/>
      <c r="P654" s="10"/>
    </row>
    <row r="655" spans="1:34" x14ac:dyDescent="0.3">
      <c r="A655"/>
      <c r="B655"/>
      <c r="C655"/>
      <c r="D655"/>
      <c r="E655"/>
      <c r="F655"/>
      <c r="G655"/>
      <c r="H655" s="11"/>
      <c r="I655"/>
      <c r="J655"/>
      <c r="L655"/>
      <c r="M655"/>
      <c r="N655"/>
      <c r="O655" s="59"/>
    </row>
    <row r="656" spans="1:34" x14ac:dyDescent="0.3">
      <c r="A656"/>
      <c r="B656"/>
      <c r="C656"/>
      <c r="D656"/>
      <c r="E656"/>
      <c r="F656"/>
      <c r="G656"/>
      <c r="H656" s="11"/>
      <c r="I656"/>
      <c r="J656"/>
      <c r="L656"/>
      <c r="M656"/>
      <c r="N656"/>
      <c r="O656" s="59"/>
    </row>
    <row r="657" spans="1:34" x14ac:dyDescent="0.3">
      <c r="A657"/>
      <c r="B657"/>
      <c r="C657"/>
      <c r="D657"/>
      <c r="E657"/>
      <c r="F657"/>
      <c r="G657"/>
      <c r="H657" s="11"/>
      <c r="I657"/>
      <c r="J657"/>
      <c r="L657"/>
      <c r="M657"/>
      <c r="N657"/>
      <c r="O657" s="59"/>
      <c r="P657" s="10"/>
      <c r="Q657" s="4"/>
      <c r="S657" s="8"/>
      <c r="T657" s="8"/>
      <c r="U657" s="8"/>
      <c r="V657" s="4"/>
      <c r="W657" s="8"/>
      <c r="X657" s="8"/>
      <c r="Y657" s="8"/>
      <c r="Z657" s="8"/>
      <c r="AA657" s="8"/>
      <c r="AB657" s="4"/>
      <c r="AC657" s="8"/>
      <c r="AD657" s="8"/>
      <c r="AE657" s="8"/>
      <c r="AF657" s="8"/>
      <c r="AG657" s="8"/>
      <c r="AH657" s="4"/>
    </row>
    <row r="658" spans="1:34" x14ac:dyDescent="0.3">
      <c r="A658"/>
      <c r="B658"/>
      <c r="C658"/>
      <c r="D658"/>
      <c r="E658"/>
      <c r="F658"/>
      <c r="G658"/>
      <c r="H658" s="11"/>
      <c r="I658"/>
      <c r="J658"/>
      <c r="L658"/>
      <c r="M658"/>
      <c r="N658"/>
      <c r="O658" s="59"/>
    </row>
    <row r="659" spans="1:34" x14ac:dyDescent="0.3">
      <c r="A659"/>
      <c r="B659"/>
      <c r="C659"/>
      <c r="D659"/>
      <c r="E659"/>
      <c r="F659"/>
      <c r="G659"/>
      <c r="H659" s="11"/>
      <c r="I659"/>
      <c r="J659"/>
      <c r="L659"/>
      <c r="M659"/>
      <c r="N659"/>
      <c r="O659" s="59"/>
    </row>
    <row r="660" spans="1:34" x14ac:dyDescent="0.3">
      <c r="A660"/>
      <c r="B660"/>
      <c r="C660"/>
      <c r="D660"/>
      <c r="E660"/>
      <c r="F660"/>
      <c r="G660"/>
      <c r="H660" s="11"/>
      <c r="I660"/>
      <c r="J660"/>
      <c r="L660"/>
      <c r="M660"/>
      <c r="N660"/>
      <c r="O660" s="59"/>
    </row>
    <row r="661" spans="1:34" x14ac:dyDescent="0.3">
      <c r="A661"/>
      <c r="B661"/>
      <c r="C661"/>
      <c r="D661"/>
      <c r="E661"/>
      <c r="F661"/>
      <c r="G661"/>
      <c r="H661" s="11"/>
      <c r="I661"/>
      <c r="J661"/>
      <c r="L661"/>
      <c r="M661"/>
      <c r="N661"/>
      <c r="O661" s="59"/>
    </row>
    <row r="662" spans="1:34" x14ac:dyDescent="0.3">
      <c r="A662"/>
      <c r="B662"/>
      <c r="C662"/>
      <c r="D662"/>
      <c r="E662"/>
      <c r="F662"/>
      <c r="G662"/>
      <c r="H662" s="11"/>
      <c r="I662"/>
      <c r="J662"/>
      <c r="L662"/>
      <c r="M662"/>
      <c r="N662"/>
      <c r="O662" s="59"/>
    </row>
    <row r="663" spans="1:34" x14ac:dyDescent="0.3">
      <c r="A663"/>
      <c r="B663"/>
      <c r="C663"/>
      <c r="D663"/>
      <c r="E663"/>
      <c r="F663"/>
      <c r="G663"/>
      <c r="H663" s="11"/>
      <c r="I663"/>
      <c r="J663"/>
      <c r="L663"/>
      <c r="M663"/>
      <c r="N663"/>
      <c r="O663" s="59"/>
    </row>
    <row r="664" spans="1:34" x14ac:dyDescent="0.3">
      <c r="A664"/>
      <c r="B664"/>
      <c r="C664"/>
      <c r="D664"/>
      <c r="E664"/>
      <c r="F664"/>
      <c r="G664"/>
      <c r="H664" s="11"/>
      <c r="I664"/>
      <c r="J664"/>
      <c r="L664"/>
      <c r="M664"/>
      <c r="N664"/>
      <c r="O664" s="59"/>
    </row>
    <row r="665" spans="1:34" x14ac:dyDescent="0.3">
      <c r="A665"/>
      <c r="B665"/>
      <c r="C665"/>
      <c r="D665"/>
      <c r="E665"/>
      <c r="F665"/>
      <c r="G665"/>
      <c r="H665" s="11"/>
      <c r="I665"/>
      <c r="J665"/>
      <c r="L665"/>
      <c r="M665"/>
      <c r="N665"/>
      <c r="O665" s="59"/>
    </row>
    <row r="666" spans="1:34" x14ac:dyDescent="0.3">
      <c r="A666"/>
      <c r="B666"/>
      <c r="C666"/>
      <c r="D666"/>
      <c r="E666"/>
      <c r="F666"/>
      <c r="G666"/>
      <c r="H666" s="11"/>
      <c r="I666"/>
      <c r="J666"/>
      <c r="L666"/>
      <c r="M666"/>
      <c r="N666"/>
      <c r="O666" s="59"/>
    </row>
    <row r="667" spans="1:34" x14ac:dyDescent="0.3">
      <c r="A667"/>
      <c r="B667"/>
      <c r="C667"/>
      <c r="D667"/>
      <c r="E667"/>
      <c r="F667"/>
      <c r="G667"/>
      <c r="H667" s="11"/>
      <c r="I667"/>
      <c r="J667"/>
      <c r="L667"/>
      <c r="M667"/>
      <c r="N667"/>
      <c r="O667" s="59"/>
    </row>
    <row r="668" spans="1:34" x14ac:dyDescent="0.3">
      <c r="A668"/>
      <c r="B668"/>
      <c r="C668"/>
      <c r="D668"/>
      <c r="E668"/>
      <c r="F668"/>
      <c r="G668"/>
      <c r="H668" s="11"/>
      <c r="I668"/>
      <c r="J668"/>
      <c r="L668"/>
      <c r="M668"/>
      <c r="N668"/>
      <c r="O668" s="59"/>
    </row>
    <row r="669" spans="1:34" x14ac:dyDescent="0.3">
      <c r="A669"/>
      <c r="B669"/>
      <c r="C669"/>
      <c r="D669"/>
      <c r="E669"/>
      <c r="F669"/>
      <c r="G669"/>
      <c r="H669" s="11"/>
      <c r="I669"/>
      <c r="J669"/>
      <c r="L669"/>
      <c r="M669"/>
      <c r="N669"/>
      <c r="O669" s="59"/>
    </row>
    <row r="670" spans="1:34" x14ac:dyDescent="0.3">
      <c r="A670"/>
      <c r="B670"/>
      <c r="C670"/>
      <c r="D670"/>
      <c r="E670"/>
      <c r="F670"/>
      <c r="G670"/>
      <c r="H670" s="11"/>
      <c r="I670"/>
      <c r="J670"/>
      <c r="L670"/>
      <c r="M670"/>
      <c r="N670"/>
      <c r="O670" s="59"/>
    </row>
    <row r="671" spans="1:34" x14ac:dyDescent="0.3">
      <c r="A671"/>
      <c r="B671"/>
      <c r="C671"/>
      <c r="D671"/>
      <c r="E671"/>
      <c r="F671"/>
      <c r="G671"/>
      <c r="H671" s="11"/>
      <c r="I671"/>
      <c r="J671"/>
      <c r="L671"/>
      <c r="M671"/>
      <c r="N671"/>
      <c r="O671" s="59"/>
    </row>
    <row r="672" spans="1:34" x14ac:dyDescent="0.3">
      <c r="A672"/>
      <c r="B672"/>
      <c r="C672"/>
      <c r="D672"/>
      <c r="E672"/>
      <c r="F672"/>
      <c r="G672"/>
      <c r="H672" s="11"/>
      <c r="I672"/>
      <c r="J672"/>
      <c r="L672"/>
      <c r="M672"/>
      <c r="N672"/>
      <c r="O672" s="59"/>
    </row>
    <row r="673" spans="1:34" x14ac:dyDescent="0.3">
      <c r="A673"/>
      <c r="B673"/>
      <c r="C673"/>
      <c r="D673"/>
      <c r="E673"/>
      <c r="F673"/>
      <c r="G673"/>
      <c r="H673" s="11"/>
      <c r="I673"/>
      <c r="J673"/>
      <c r="L673"/>
      <c r="M673"/>
      <c r="N673"/>
      <c r="O673" s="59"/>
    </row>
    <row r="674" spans="1:34" x14ac:dyDescent="0.3">
      <c r="A674"/>
      <c r="B674"/>
      <c r="C674"/>
      <c r="D674"/>
      <c r="E674"/>
      <c r="F674"/>
      <c r="G674"/>
      <c r="H674" s="11"/>
      <c r="I674"/>
      <c r="J674"/>
      <c r="L674"/>
      <c r="M674"/>
      <c r="N674"/>
      <c r="O674" s="59"/>
    </row>
    <row r="675" spans="1:34" x14ac:dyDescent="0.3">
      <c r="A675"/>
      <c r="B675"/>
      <c r="C675"/>
      <c r="D675"/>
      <c r="E675"/>
      <c r="F675"/>
      <c r="G675"/>
      <c r="H675" s="11"/>
      <c r="I675"/>
      <c r="J675"/>
      <c r="L675"/>
      <c r="M675"/>
      <c r="N675"/>
      <c r="O675" s="59"/>
    </row>
    <row r="676" spans="1:34" x14ac:dyDescent="0.3">
      <c r="A676"/>
      <c r="B676"/>
      <c r="C676"/>
      <c r="D676"/>
      <c r="E676"/>
      <c r="F676"/>
      <c r="G676"/>
      <c r="H676" s="11"/>
      <c r="I676"/>
      <c r="J676"/>
      <c r="L676"/>
      <c r="M676"/>
      <c r="N676"/>
      <c r="O676" s="59"/>
    </row>
    <row r="677" spans="1:34" x14ac:dyDescent="0.3">
      <c r="A677"/>
      <c r="B677"/>
      <c r="C677"/>
      <c r="D677"/>
      <c r="E677"/>
      <c r="F677"/>
      <c r="G677"/>
      <c r="H677" s="11"/>
      <c r="I677"/>
      <c r="J677"/>
      <c r="L677"/>
      <c r="M677"/>
      <c r="N677"/>
      <c r="O677" s="59"/>
    </row>
    <row r="678" spans="1:34" x14ac:dyDescent="0.3">
      <c r="A678"/>
      <c r="B678"/>
      <c r="C678"/>
      <c r="D678"/>
      <c r="E678"/>
      <c r="F678"/>
      <c r="G678"/>
      <c r="H678" s="11"/>
      <c r="I678"/>
      <c r="J678"/>
      <c r="L678"/>
      <c r="M678"/>
      <c r="N678"/>
      <c r="O678" s="59"/>
    </row>
    <row r="679" spans="1:34" x14ac:dyDescent="0.3">
      <c r="A679"/>
      <c r="B679"/>
      <c r="C679"/>
      <c r="D679"/>
      <c r="E679"/>
      <c r="F679"/>
      <c r="G679"/>
      <c r="H679" s="11"/>
      <c r="I679"/>
      <c r="J679"/>
      <c r="L679"/>
      <c r="M679"/>
      <c r="N679"/>
      <c r="O679" s="59"/>
    </row>
    <row r="680" spans="1:34" x14ac:dyDescent="0.3">
      <c r="A680"/>
      <c r="B680"/>
      <c r="C680"/>
      <c r="D680"/>
      <c r="E680"/>
      <c r="F680"/>
      <c r="G680"/>
      <c r="H680" s="11"/>
      <c r="I680"/>
      <c r="J680"/>
      <c r="L680"/>
      <c r="M680"/>
      <c r="N680"/>
      <c r="O680" s="59"/>
    </row>
    <row r="681" spans="1:34" x14ac:dyDescent="0.3">
      <c r="A681"/>
      <c r="B681"/>
      <c r="C681"/>
      <c r="D681"/>
      <c r="E681"/>
      <c r="F681"/>
      <c r="G681"/>
      <c r="H681" s="11"/>
      <c r="I681"/>
      <c r="J681"/>
      <c r="L681"/>
      <c r="M681"/>
      <c r="N681"/>
      <c r="O681" s="59"/>
    </row>
    <row r="682" spans="1:34" x14ac:dyDescent="0.3">
      <c r="A682"/>
      <c r="B682"/>
      <c r="C682"/>
      <c r="D682"/>
      <c r="E682"/>
      <c r="F682"/>
      <c r="G682"/>
      <c r="H682" s="11"/>
      <c r="I682"/>
      <c r="J682"/>
      <c r="L682"/>
      <c r="M682"/>
      <c r="N682"/>
      <c r="O682" s="59"/>
    </row>
    <row r="683" spans="1:34" x14ac:dyDescent="0.3">
      <c r="A683"/>
      <c r="B683"/>
      <c r="C683"/>
      <c r="D683"/>
      <c r="E683"/>
      <c r="F683"/>
      <c r="G683"/>
      <c r="H683" s="11"/>
      <c r="I683"/>
      <c r="J683"/>
      <c r="L683"/>
      <c r="M683"/>
      <c r="N683"/>
      <c r="O683" s="59"/>
    </row>
    <row r="684" spans="1:34" x14ac:dyDescent="0.3">
      <c r="A684"/>
      <c r="B684"/>
      <c r="C684"/>
      <c r="D684"/>
      <c r="E684"/>
      <c r="F684"/>
      <c r="G684"/>
      <c r="H684" s="11"/>
      <c r="I684"/>
      <c r="J684"/>
      <c r="L684"/>
      <c r="M684"/>
      <c r="N684"/>
      <c r="O684" s="59"/>
    </row>
    <row r="685" spans="1:34" x14ac:dyDescent="0.3">
      <c r="A685"/>
      <c r="B685"/>
      <c r="C685"/>
      <c r="D685"/>
      <c r="E685"/>
      <c r="F685"/>
      <c r="G685"/>
      <c r="H685" s="11"/>
      <c r="I685"/>
      <c r="J685"/>
      <c r="L685"/>
      <c r="M685"/>
      <c r="N685"/>
      <c r="O685" s="59"/>
      <c r="P685" s="10"/>
      <c r="Q685" s="4"/>
      <c r="S685" s="8"/>
      <c r="T685" s="8"/>
      <c r="U685" s="8"/>
      <c r="V685" s="4"/>
      <c r="W685" s="8"/>
      <c r="X685" s="8"/>
      <c r="Y685" s="8"/>
      <c r="Z685" s="8"/>
      <c r="AA685" s="8"/>
      <c r="AB685" s="4"/>
      <c r="AC685" s="8"/>
      <c r="AD685" s="8"/>
      <c r="AE685" s="8"/>
      <c r="AF685" s="8"/>
      <c r="AG685" s="8"/>
      <c r="AH685" s="4"/>
    </row>
    <row r="686" spans="1:34" x14ac:dyDescent="0.3">
      <c r="A686"/>
      <c r="B686"/>
      <c r="C686"/>
      <c r="D686"/>
      <c r="E686"/>
      <c r="F686"/>
      <c r="G686"/>
      <c r="H686" s="11"/>
      <c r="I686"/>
      <c r="J686"/>
      <c r="L686"/>
      <c r="M686"/>
      <c r="N686"/>
      <c r="O686" s="59"/>
    </row>
    <row r="687" spans="1:34" x14ac:dyDescent="0.3">
      <c r="A687"/>
      <c r="B687"/>
      <c r="C687"/>
      <c r="D687"/>
      <c r="E687"/>
      <c r="F687"/>
      <c r="G687"/>
      <c r="H687" s="11"/>
      <c r="I687"/>
      <c r="J687"/>
      <c r="L687"/>
      <c r="M687"/>
      <c r="N687"/>
      <c r="O687" s="59"/>
    </row>
    <row r="688" spans="1:34" x14ac:dyDescent="0.3">
      <c r="A688"/>
      <c r="B688"/>
      <c r="C688"/>
      <c r="D688"/>
      <c r="E688"/>
      <c r="F688"/>
      <c r="G688"/>
      <c r="H688" s="11"/>
      <c r="I688"/>
      <c r="J688"/>
      <c r="L688"/>
      <c r="M688"/>
      <c r="N688"/>
      <c r="O688" s="59"/>
    </row>
    <row r="689" spans="1:34" x14ac:dyDescent="0.3">
      <c r="A689"/>
      <c r="B689"/>
      <c r="C689"/>
      <c r="D689"/>
      <c r="E689"/>
      <c r="F689"/>
      <c r="G689"/>
      <c r="H689" s="11"/>
      <c r="I689"/>
      <c r="J689"/>
      <c r="L689"/>
      <c r="M689"/>
      <c r="N689"/>
      <c r="O689" s="59"/>
    </row>
    <row r="690" spans="1:34" x14ac:dyDescent="0.3">
      <c r="A690"/>
      <c r="B690"/>
      <c r="C690"/>
      <c r="D690"/>
      <c r="E690"/>
      <c r="F690"/>
      <c r="G690"/>
      <c r="H690" s="11"/>
      <c r="I690"/>
      <c r="J690"/>
      <c r="L690"/>
      <c r="M690"/>
      <c r="N690"/>
      <c r="O690" s="59"/>
    </row>
    <row r="691" spans="1:34" x14ac:dyDescent="0.3">
      <c r="A691"/>
      <c r="B691"/>
      <c r="C691"/>
      <c r="D691"/>
      <c r="E691"/>
      <c r="F691"/>
      <c r="G691"/>
      <c r="H691" s="11"/>
      <c r="I691"/>
      <c r="J691"/>
      <c r="L691"/>
      <c r="M691"/>
      <c r="N691"/>
      <c r="O691" s="59"/>
    </row>
    <row r="692" spans="1:34" x14ac:dyDescent="0.3">
      <c r="A692"/>
      <c r="B692"/>
      <c r="C692"/>
      <c r="D692"/>
      <c r="E692"/>
      <c r="F692"/>
      <c r="G692"/>
      <c r="H692" s="11"/>
      <c r="I692"/>
      <c r="J692"/>
      <c r="L692"/>
      <c r="M692"/>
      <c r="N692"/>
      <c r="O692" s="59"/>
      <c r="P692" s="10"/>
      <c r="Q692" s="4"/>
      <c r="S692" s="8"/>
      <c r="T692" s="8"/>
      <c r="U692" s="8"/>
      <c r="V692" s="4"/>
      <c r="W692" s="8"/>
      <c r="X692" s="8"/>
      <c r="Y692" s="8"/>
      <c r="Z692" s="8"/>
      <c r="AA692" s="8"/>
      <c r="AB692" s="4"/>
      <c r="AC692" s="8"/>
      <c r="AD692" s="8"/>
      <c r="AE692" s="8"/>
      <c r="AF692" s="8"/>
      <c r="AG692" s="8"/>
      <c r="AH692" s="4"/>
    </row>
    <row r="693" spans="1:34" x14ac:dyDescent="0.3">
      <c r="A693"/>
      <c r="B693"/>
      <c r="C693"/>
      <c r="D693"/>
      <c r="E693"/>
      <c r="F693"/>
      <c r="G693"/>
      <c r="H693" s="11"/>
      <c r="I693"/>
      <c r="J693"/>
      <c r="L693"/>
      <c r="M693"/>
      <c r="N693"/>
      <c r="O693" s="59"/>
    </row>
    <row r="694" spans="1:34" x14ac:dyDescent="0.3">
      <c r="A694"/>
      <c r="B694"/>
      <c r="C694"/>
      <c r="D694"/>
      <c r="E694"/>
      <c r="F694"/>
      <c r="G694"/>
      <c r="H694" s="11"/>
      <c r="I694"/>
      <c r="J694"/>
      <c r="L694"/>
      <c r="M694"/>
      <c r="N694"/>
      <c r="O694" s="59"/>
    </row>
    <row r="695" spans="1:34" x14ac:dyDescent="0.3">
      <c r="A695"/>
      <c r="B695"/>
      <c r="C695"/>
      <c r="D695"/>
      <c r="E695"/>
      <c r="F695"/>
      <c r="G695"/>
      <c r="H695" s="11"/>
      <c r="I695"/>
      <c r="J695"/>
      <c r="L695"/>
      <c r="M695"/>
      <c r="N695"/>
      <c r="O695" s="59"/>
    </row>
    <row r="696" spans="1:34" x14ac:dyDescent="0.3">
      <c r="A696"/>
      <c r="B696"/>
      <c r="C696"/>
      <c r="D696"/>
      <c r="E696"/>
      <c r="F696"/>
      <c r="G696"/>
      <c r="H696" s="11"/>
      <c r="I696"/>
      <c r="J696"/>
      <c r="L696"/>
      <c r="M696"/>
      <c r="N696"/>
      <c r="O696" s="59"/>
    </row>
    <row r="697" spans="1:34" x14ac:dyDescent="0.3">
      <c r="A697"/>
      <c r="B697"/>
      <c r="C697"/>
      <c r="D697"/>
      <c r="E697"/>
      <c r="F697"/>
      <c r="G697"/>
      <c r="H697" s="11"/>
      <c r="I697"/>
      <c r="J697"/>
      <c r="L697"/>
      <c r="M697"/>
      <c r="N697"/>
      <c r="O697" s="59"/>
    </row>
    <row r="698" spans="1:34" x14ac:dyDescent="0.3">
      <c r="A698"/>
      <c r="B698"/>
      <c r="C698"/>
      <c r="D698"/>
      <c r="E698"/>
      <c r="F698"/>
      <c r="G698"/>
      <c r="H698" s="11"/>
      <c r="I698"/>
      <c r="J698"/>
      <c r="L698"/>
      <c r="M698"/>
      <c r="N698"/>
      <c r="O698" s="59"/>
    </row>
    <row r="699" spans="1:34" x14ac:dyDescent="0.3">
      <c r="A699"/>
      <c r="B699"/>
      <c r="C699"/>
      <c r="D699"/>
      <c r="E699"/>
      <c r="F699"/>
      <c r="G699"/>
      <c r="H699" s="11"/>
      <c r="I699"/>
      <c r="J699"/>
      <c r="L699"/>
      <c r="M699"/>
      <c r="N699"/>
      <c r="O699" s="59"/>
    </row>
    <row r="700" spans="1:34" x14ac:dyDescent="0.3">
      <c r="A700"/>
      <c r="B700"/>
      <c r="C700"/>
      <c r="D700"/>
      <c r="E700"/>
      <c r="F700"/>
      <c r="G700"/>
      <c r="H700" s="11"/>
      <c r="I700"/>
      <c r="J700"/>
      <c r="L700"/>
      <c r="M700"/>
      <c r="N700"/>
      <c r="O700" s="59"/>
      <c r="Y700" s="13"/>
      <c r="Z700" s="13"/>
    </row>
    <row r="701" spans="1:34" x14ac:dyDescent="0.3">
      <c r="A701"/>
      <c r="B701"/>
      <c r="C701"/>
      <c r="D701"/>
      <c r="E701"/>
      <c r="F701"/>
      <c r="G701"/>
      <c r="H701" s="11"/>
      <c r="I701"/>
      <c r="J701"/>
      <c r="L701"/>
      <c r="M701"/>
      <c r="N701"/>
      <c r="O701" s="59"/>
    </row>
    <row r="702" spans="1:34" x14ac:dyDescent="0.3">
      <c r="A702"/>
      <c r="B702"/>
      <c r="C702"/>
      <c r="D702"/>
      <c r="E702"/>
      <c r="F702"/>
      <c r="G702"/>
      <c r="H702" s="11"/>
      <c r="I702"/>
      <c r="J702"/>
      <c r="L702"/>
      <c r="M702"/>
      <c r="N702"/>
      <c r="O702" s="59"/>
    </row>
    <row r="703" spans="1:34" x14ac:dyDescent="0.3">
      <c r="A703"/>
      <c r="B703"/>
      <c r="C703"/>
      <c r="D703"/>
      <c r="E703"/>
      <c r="F703"/>
      <c r="G703"/>
      <c r="H703" s="11"/>
      <c r="I703"/>
      <c r="J703"/>
      <c r="L703"/>
      <c r="M703"/>
      <c r="N703"/>
      <c r="O703" s="59"/>
    </row>
    <row r="704" spans="1:34" x14ac:dyDescent="0.3">
      <c r="A704"/>
      <c r="B704"/>
      <c r="C704"/>
      <c r="D704"/>
      <c r="E704"/>
      <c r="F704"/>
      <c r="G704"/>
      <c r="H704" s="11"/>
      <c r="I704"/>
      <c r="J704"/>
      <c r="L704"/>
      <c r="M704"/>
      <c r="N704"/>
      <c r="O704" s="59"/>
    </row>
    <row r="705" spans="1:34" x14ac:dyDescent="0.3">
      <c r="A705"/>
      <c r="B705"/>
      <c r="C705"/>
      <c r="D705"/>
      <c r="E705"/>
      <c r="F705"/>
      <c r="G705"/>
      <c r="H705" s="11"/>
      <c r="I705"/>
      <c r="J705"/>
      <c r="L705"/>
      <c r="M705"/>
      <c r="N705"/>
      <c r="O705" s="59"/>
    </row>
    <row r="706" spans="1:34" x14ac:dyDescent="0.3">
      <c r="A706"/>
      <c r="B706"/>
      <c r="C706"/>
      <c r="D706"/>
      <c r="E706"/>
      <c r="F706"/>
      <c r="G706"/>
      <c r="H706" s="11"/>
      <c r="I706"/>
      <c r="J706"/>
      <c r="L706"/>
      <c r="M706"/>
      <c r="N706"/>
      <c r="O706" s="59"/>
      <c r="P706" s="10"/>
      <c r="Q706" s="4"/>
      <c r="S706" s="8"/>
      <c r="T706" s="8"/>
      <c r="U706" s="8"/>
      <c r="V706" s="4"/>
      <c r="W706" s="8"/>
      <c r="X706" s="8"/>
      <c r="Y706" s="8"/>
      <c r="Z706" s="8"/>
      <c r="AA706" s="8"/>
      <c r="AB706" s="4"/>
      <c r="AC706" s="8"/>
      <c r="AD706" s="8"/>
      <c r="AE706" s="8"/>
      <c r="AF706" s="8"/>
      <c r="AG706" s="8"/>
      <c r="AH706" s="4"/>
    </row>
    <row r="707" spans="1:34" x14ac:dyDescent="0.3">
      <c r="A707"/>
      <c r="B707"/>
      <c r="C707"/>
      <c r="D707"/>
      <c r="E707"/>
      <c r="F707"/>
      <c r="G707"/>
      <c r="H707" s="11"/>
      <c r="I707"/>
      <c r="J707"/>
      <c r="L707"/>
      <c r="M707"/>
      <c r="N707"/>
      <c r="O707" s="59"/>
    </row>
    <row r="708" spans="1:34" x14ac:dyDescent="0.3">
      <c r="A708"/>
      <c r="B708"/>
      <c r="C708"/>
      <c r="D708"/>
      <c r="E708"/>
      <c r="F708"/>
      <c r="G708"/>
      <c r="H708" s="11"/>
      <c r="I708"/>
      <c r="J708"/>
      <c r="L708"/>
      <c r="M708"/>
      <c r="N708"/>
      <c r="O708" s="59"/>
    </row>
    <row r="709" spans="1:34" x14ac:dyDescent="0.3">
      <c r="A709"/>
      <c r="B709"/>
      <c r="C709"/>
      <c r="D709"/>
      <c r="E709"/>
      <c r="F709"/>
      <c r="G709"/>
      <c r="H709" s="11"/>
      <c r="I709"/>
      <c r="J709"/>
      <c r="L709"/>
      <c r="M709"/>
      <c r="N709"/>
      <c r="O709" s="59"/>
    </row>
    <row r="710" spans="1:34" x14ac:dyDescent="0.3">
      <c r="A710"/>
      <c r="B710"/>
      <c r="C710"/>
      <c r="D710"/>
      <c r="E710"/>
      <c r="F710"/>
      <c r="G710"/>
      <c r="H710" s="11"/>
      <c r="I710"/>
      <c r="J710"/>
      <c r="L710"/>
      <c r="M710"/>
      <c r="N710"/>
      <c r="O710" s="59"/>
      <c r="Q710" s="4"/>
      <c r="S710" s="8"/>
      <c r="T710" s="8"/>
      <c r="U710" s="8"/>
      <c r="V710" s="4"/>
      <c r="W710" s="8"/>
      <c r="X710" s="8"/>
      <c r="Y710" s="8"/>
      <c r="Z710" s="8"/>
      <c r="AA710" s="8"/>
      <c r="AB710" s="4"/>
      <c r="AC710" s="8"/>
      <c r="AD710" s="8"/>
      <c r="AE710" s="8"/>
      <c r="AF710" s="8"/>
      <c r="AG710" s="8"/>
      <c r="AH710" s="4"/>
    </row>
    <row r="711" spans="1:34" x14ac:dyDescent="0.3">
      <c r="A711"/>
      <c r="B711"/>
      <c r="C711"/>
      <c r="D711"/>
      <c r="E711"/>
      <c r="F711"/>
      <c r="G711"/>
      <c r="H711" s="11"/>
      <c r="I711"/>
      <c r="J711"/>
      <c r="L711"/>
      <c r="M711"/>
      <c r="N711"/>
      <c r="O711" s="59"/>
    </row>
    <row r="712" spans="1:34" x14ac:dyDescent="0.3">
      <c r="A712"/>
      <c r="B712"/>
      <c r="C712"/>
      <c r="D712"/>
      <c r="E712"/>
      <c r="F712"/>
      <c r="G712"/>
      <c r="H712" s="11"/>
      <c r="I712"/>
      <c r="J712"/>
      <c r="L712"/>
      <c r="M712"/>
      <c r="N712"/>
      <c r="O712" s="59"/>
    </row>
    <row r="713" spans="1:34" x14ac:dyDescent="0.3">
      <c r="A713"/>
      <c r="B713"/>
      <c r="C713"/>
      <c r="D713"/>
      <c r="E713"/>
      <c r="F713"/>
      <c r="G713"/>
      <c r="H713" s="11"/>
      <c r="I713"/>
      <c r="J713"/>
      <c r="L713"/>
      <c r="M713"/>
      <c r="N713"/>
      <c r="O713" s="59"/>
    </row>
    <row r="714" spans="1:34" x14ac:dyDescent="0.3">
      <c r="A714"/>
      <c r="B714"/>
      <c r="C714"/>
      <c r="D714"/>
      <c r="E714"/>
      <c r="F714"/>
      <c r="G714"/>
      <c r="H714" s="11"/>
      <c r="I714"/>
      <c r="J714"/>
      <c r="L714"/>
      <c r="M714"/>
      <c r="N714"/>
      <c r="O714" s="59"/>
    </row>
    <row r="715" spans="1:34" x14ac:dyDescent="0.3">
      <c r="A715"/>
      <c r="B715"/>
      <c r="C715"/>
      <c r="D715"/>
      <c r="E715"/>
      <c r="F715"/>
      <c r="G715"/>
      <c r="H715" s="11"/>
      <c r="I715"/>
      <c r="J715"/>
      <c r="L715"/>
      <c r="M715"/>
      <c r="N715"/>
      <c r="O715" s="59"/>
    </row>
    <row r="716" spans="1:34" x14ac:dyDescent="0.3">
      <c r="A716"/>
      <c r="B716"/>
      <c r="C716"/>
      <c r="D716"/>
      <c r="E716"/>
      <c r="F716"/>
      <c r="G716"/>
      <c r="H716" s="11"/>
      <c r="I716"/>
      <c r="J716"/>
      <c r="L716"/>
      <c r="M716"/>
      <c r="N716"/>
      <c r="O716" s="59"/>
    </row>
    <row r="717" spans="1:34" x14ac:dyDescent="0.3">
      <c r="A717"/>
      <c r="B717"/>
      <c r="C717"/>
      <c r="D717"/>
      <c r="E717"/>
      <c r="F717"/>
      <c r="G717"/>
      <c r="H717" s="11"/>
      <c r="I717"/>
      <c r="J717"/>
      <c r="L717"/>
      <c r="M717"/>
      <c r="N717"/>
      <c r="O717" s="59"/>
      <c r="Q717" s="4"/>
      <c r="S717" s="8"/>
      <c r="T717" s="8"/>
      <c r="U717" s="8"/>
      <c r="V717" s="4"/>
      <c r="W717" s="8"/>
      <c r="X717" s="8"/>
      <c r="Y717" s="8"/>
      <c r="Z717" s="8"/>
      <c r="AA717" s="8"/>
      <c r="AB717" s="4"/>
      <c r="AC717" s="8"/>
      <c r="AD717" s="8"/>
      <c r="AE717" s="8"/>
      <c r="AF717" s="8"/>
      <c r="AG717" s="8"/>
      <c r="AH717" s="4"/>
    </row>
    <row r="718" spans="1:34" x14ac:dyDescent="0.3">
      <c r="A718"/>
      <c r="B718"/>
      <c r="C718"/>
      <c r="D718"/>
      <c r="E718"/>
      <c r="F718"/>
      <c r="G718"/>
      <c r="H718" s="11"/>
      <c r="I718"/>
      <c r="J718"/>
      <c r="L718"/>
      <c r="M718"/>
      <c r="N718"/>
      <c r="O718" s="59"/>
    </row>
    <row r="719" spans="1:34" x14ac:dyDescent="0.3">
      <c r="A719"/>
      <c r="B719"/>
      <c r="C719"/>
      <c r="D719"/>
      <c r="E719"/>
      <c r="F719"/>
      <c r="G719"/>
      <c r="H719" s="11"/>
      <c r="I719"/>
      <c r="J719"/>
      <c r="L719"/>
      <c r="M719"/>
      <c r="N719"/>
      <c r="O719" s="59"/>
    </row>
    <row r="720" spans="1:34" x14ac:dyDescent="0.3">
      <c r="A720"/>
      <c r="B720"/>
      <c r="C720"/>
      <c r="D720"/>
      <c r="E720"/>
      <c r="F720"/>
      <c r="G720"/>
      <c r="H720" s="11"/>
      <c r="I720"/>
      <c r="J720"/>
      <c r="L720"/>
      <c r="M720"/>
      <c r="N720"/>
      <c r="O720" s="59"/>
    </row>
    <row r="721" spans="1:34" x14ac:dyDescent="0.3">
      <c r="A721"/>
      <c r="B721"/>
      <c r="C721"/>
      <c r="D721"/>
      <c r="E721"/>
      <c r="F721"/>
      <c r="G721"/>
      <c r="H721" s="11"/>
      <c r="I721"/>
      <c r="J721"/>
      <c r="L721"/>
      <c r="M721"/>
      <c r="N721"/>
      <c r="O721" s="59"/>
    </row>
    <row r="722" spans="1:34" x14ac:dyDescent="0.3">
      <c r="A722"/>
      <c r="B722"/>
      <c r="C722"/>
      <c r="D722"/>
      <c r="E722"/>
      <c r="F722"/>
      <c r="G722"/>
      <c r="H722" s="11"/>
      <c r="I722"/>
      <c r="J722"/>
      <c r="L722"/>
      <c r="M722"/>
      <c r="N722"/>
      <c r="O722" s="59"/>
      <c r="P722" s="10"/>
      <c r="Q722" s="4"/>
      <c r="S722" s="8"/>
      <c r="T722" s="8"/>
      <c r="U722" s="8"/>
      <c r="V722" s="4"/>
      <c r="W722" s="8"/>
      <c r="X722" s="8"/>
      <c r="Y722" s="8"/>
      <c r="Z722" s="8"/>
      <c r="AA722" s="8"/>
      <c r="AB722" s="4"/>
      <c r="AC722" s="8"/>
      <c r="AD722" s="8"/>
      <c r="AE722" s="8"/>
      <c r="AF722" s="8"/>
      <c r="AG722" s="8"/>
      <c r="AH722" s="4"/>
    </row>
    <row r="723" spans="1:34" x14ac:dyDescent="0.3">
      <c r="A723"/>
      <c r="B723"/>
      <c r="C723"/>
      <c r="D723"/>
      <c r="E723"/>
      <c r="F723"/>
      <c r="G723"/>
      <c r="H723" s="11"/>
      <c r="I723"/>
      <c r="J723"/>
      <c r="L723"/>
      <c r="M723"/>
      <c r="N723"/>
      <c r="O723" s="59"/>
    </row>
    <row r="724" spans="1:34" x14ac:dyDescent="0.3">
      <c r="A724"/>
      <c r="B724"/>
      <c r="C724"/>
      <c r="D724"/>
      <c r="E724"/>
      <c r="F724"/>
      <c r="G724"/>
      <c r="H724" s="11"/>
      <c r="I724"/>
      <c r="J724"/>
      <c r="L724"/>
      <c r="M724"/>
      <c r="N724"/>
      <c r="O724" s="59"/>
    </row>
    <row r="725" spans="1:34" x14ac:dyDescent="0.3">
      <c r="A725"/>
      <c r="B725"/>
      <c r="C725"/>
      <c r="D725"/>
      <c r="E725"/>
      <c r="F725"/>
      <c r="G725"/>
      <c r="H725" s="11"/>
      <c r="I725"/>
      <c r="J725"/>
      <c r="L725"/>
      <c r="M725"/>
      <c r="N725"/>
      <c r="O725" s="59"/>
    </row>
    <row r="726" spans="1:34" x14ac:dyDescent="0.3">
      <c r="A726"/>
      <c r="B726"/>
      <c r="C726"/>
      <c r="D726"/>
      <c r="E726"/>
      <c r="F726"/>
      <c r="G726"/>
      <c r="H726" s="11"/>
      <c r="I726"/>
      <c r="J726"/>
      <c r="L726"/>
      <c r="M726"/>
      <c r="N726"/>
      <c r="O726" s="59"/>
    </row>
    <row r="727" spans="1:34" x14ac:dyDescent="0.3">
      <c r="A727"/>
      <c r="B727"/>
      <c r="C727"/>
      <c r="D727"/>
      <c r="E727"/>
      <c r="F727"/>
      <c r="G727"/>
      <c r="H727" s="11"/>
      <c r="I727"/>
      <c r="J727"/>
      <c r="L727"/>
      <c r="M727"/>
      <c r="N727"/>
      <c r="O727" s="59"/>
    </row>
    <row r="728" spans="1:34" x14ac:dyDescent="0.3">
      <c r="A728"/>
      <c r="B728"/>
      <c r="C728"/>
      <c r="D728"/>
      <c r="E728"/>
      <c r="F728"/>
      <c r="G728"/>
      <c r="H728" s="11"/>
      <c r="I728"/>
      <c r="J728"/>
      <c r="L728"/>
      <c r="M728"/>
      <c r="N728"/>
      <c r="O728" s="59"/>
    </row>
    <row r="729" spans="1:34" x14ac:dyDescent="0.3">
      <c r="A729"/>
      <c r="B729"/>
      <c r="C729"/>
      <c r="D729"/>
      <c r="E729"/>
      <c r="F729"/>
      <c r="G729"/>
      <c r="H729" s="11"/>
      <c r="I729"/>
      <c r="J729"/>
      <c r="L729"/>
      <c r="M729"/>
      <c r="N729"/>
      <c r="O729" s="59"/>
    </row>
    <row r="730" spans="1:34" x14ac:dyDescent="0.3">
      <c r="A730"/>
      <c r="B730"/>
      <c r="C730"/>
      <c r="D730"/>
      <c r="E730"/>
      <c r="F730"/>
      <c r="G730"/>
      <c r="H730" s="11"/>
      <c r="I730"/>
      <c r="J730"/>
      <c r="L730"/>
      <c r="M730"/>
      <c r="N730"/>
      <c r="O730" s="59"/>
    </row>
    <row r="731" spans="1:34" x14ac:dyDescent="0.3">
      <c r="A731"/>
      <c r="B731"/>
      <c r="C731"/>
      <c r="D731"/>
      <c r="E731"/>
      <c r="F731"/>
      <c r="G731"/>
      <c r="H731" s="11"/>
      <c r="I731"/>
      <c r="J731"/>
      <c r="L731"/>
      <c r="M731"/>
      <c r="N731"/>
      <c r="O731" s="59"/>
    </row>
    <row r="732" spans="1:34" x14ac:dyDescent="0.3">
      <c r="A732"/>
      <c r="B732"/>
      <c r="C732"/>
      <c r="D732"/>
      <c r="E732"/>
      <c r="F732"/>
      <c r="G732"/>
      <c r="H732" s="11"/>
      <c r="I732"/>
      <c r="J732"/>
      <c r="L732"/>
      <c r="M732"/>
      <c r="N732"/>
      <c r="O732" s="59"/>
    </row>
    <row r="733" spans="1:34" x14ac:dyDescent="0.3">
      <c r="A733"/>
      <c r="B733"/>
      <c r="C733"/>
      <c r="D733"/>
      <c r="E733"/>
      <c r="F733"/>
      <c r="G733"/>
      <c r="H733" s="11"/>
      <c r="I733"/>
      <c r="J733"/>
      <c r="L733"/>
      <c r="M733"/>
      <c r="N733"/>
      <c r="O733" s="59"/>
    </row>
    <row r="734" spans="1:34" x14ac:dyDescent="0.3">
      <c r="A734"/>
      <c r="B734"/>
      <c r="C734"/>
      <c r="D734"/>
      <c r="E734"/>
      <c r="F734"/>
      <c r="G734"/>
      <c r="H734" s="11"/>
      <c r="I734"/>
      <c r="J734"/>
      <c r="L734"/>
      <c r="M734"/>
      <c r="N734"/>
      <c r="O734" s="59"/>
    </row>
    <row r="735" spans="1:34" x14ac:dyDescent="0.3">
      <c r="A735"/>
      <c r="B735"/>
      <c r="C735"/>
      <c r="D735"/>
      <c r="E735"/>
      <c r="F735"/>
      <c r="G735"/>
      <c r="H735" s="11"/>
      <c r="I735"/>
      <c r="J735"/>
      <c r="L735"/>
      <c r="M735"/>
      <c r="N735"/>
      <c r="O735" s="59"/>
    </row>
    <row r="736" spans="1:34" x14ac:dyDescent="0.3">
      <c r="A736"/>
      <c r="B736"/>
      <c r="C736"/>
      <c r="D736"/>
      <c r="E736"/>
      <c r="F736"/>
      <c r="G736"/>
      <c r="H736" s="11"/>
      <c r="I736"/>
      <c r="J736"/>
      <c r="L736"/>
      <c r="M736"/>
      <c r="N736"/>
      <c r="O736" s="59"/>
    </row>
    <row r="737" spans="1:34" x14ac:dyDescent="0.3">
      <c r="A737"/>
      <c r="B737"/>
      <c r="C737"/>
      <c r="D737"/>
      <c r="E737"/>
      <c r="F737"/>
      <c r="G737"/>
      <c r="H737" s="11"/>
      <c r="I737"/>
      <c r="J737"/>
      <c r="L737"/>
      <c r="M737"/>
      <c r="N737"/>
      <c r="O737" s="59"/>
    </row>
    <row r="738" spans="1:34" x14ac:dyDescent="0.3">
      <c r="A738"/>
      <c r="B738"/>
      <c r="C738"/>
      <c r="D738"/>
      <c r="E738"/>
      <c r="F738"/>
      <c r="G738"/>
      <c r="H738" s="11"/>
      <c r="I738"/>
      <c r="J738"/>
      <c r="L738"/>
      <c r="M738"/>
      <c r="N738"/>
      <c r="O738" s="59"/>
    </row>
    <row r="739" spans="1:34" x14ac:dyDescent="0.3">
      <c r="A739"/>
      <c r="B739"/>
      <c r="C739"/>
      <c r="D739"/>
      <c r="E739"/>
      <c r="F739"/>
      <c r="G739"/>
      <c r="H739" s="11"/>
      <c r="I739"/>
      <c r="J739"/>
      <c r="L739"/>
      <c r="M739"/>
      <c r="N739"/>
      <c r="O739" s="59"/>
    </row>
    <row r="740" spans="1:34" x14ac:dyDescent="0.3">
      <c r="A740"/>
      <c r="B740"/>
      <c r="C740"/>
      <c r="D740"/>
      <c r="E740"/>
      <c r="F740"/>
      <c r="G740"/>
      <c r="H740" s="11"/>
      <c r="I740"/>
      <c r="J740"/>
      <c r="L740"/>
      <c r="M740"/>
      <c r="N740"/>
      <c r="O740" s="59"/>
    </row>
    <row r="741" spans="1:34" x14ac:dyDescent="0.3">
      <c r="A741"/>
      <c r="B741"/>
      <c r="C741"/>
      <c r="D741"/>
      <c r="E741"/>
      <c r="F741"/>
      <c r="G741"/>
      <c r="H741" s="11"/>
      <c r="I741"/>
      <c r="J741"/>
      <c r="L741"/>
      <c r="M741"/>
      <c r="N741"/>
      <c r="O741" s="59"/>
    </row>
    <row r="742" spans="1:34" x14ac:dyDescent="0.3">
      <c r="A742"/>
      <c r="B742"/>
      <c r="C742"/>
      <c r="D742"/>
      <c r="E742"/>
      <c r="F742"/>
      <c r="G742"/>
      <c r="H742" s="11"/>
      <c r="I742"/>
      <c r="J742"/>
      <c r="L742"/>
      <c r="M742"/>
      <c r="N742"/>
      <c r="O742" s="59"/>
    </row>
    <row r="743" spans="1:34" x14ac:dyDescent="0.3">
      <c r="A743"/>
      <c r="B743"/>
      <c r="C743"/>
      <c r="D743"/>
      <c r="E743"/>
      <c r="F743"/>
      <c r="G743"/>
      <c r="H743" s="11"/>
      <c r="I743"/>
      <c r="J743"/>
      <c r="L743"/>
      <c r="M743"/>
      <c r="N743"/>
      <c r="O743" s="59"/>
      <c r="Q743" s="4"/>
      <c r="S743" s="8"/>
      <c r="T743" s="8"/>
      <c r="U743" s="8"/>
      <c r="V743" s="4"/>
      <c r="W743" s="8"/>
      <c r="X743" s="8"/>
      <c r="Y743" s="8"/>
      <c r="Z743" s="8"/>
      <c r="AA743" s="8"/>
      <c r="AB743" s="4"/>
      <c r="AC743" s="8"/>
      <c r="AD743" s="8"/>
      <c r="AE743" s="8"/>
      <c r="AF743" s="8"/>
      <c r="AG743" s="8"/>
      <c r="AH743" s="4"/>
    </row>
    <row r="744" spans="1:34" x14ac:dyDescent="0.3">
      <c r="A744"/>
      <c r="B744"/>
      <c r="C744"/>
      <c r="D744"/>
      <c r="E744"/>
      <c r="F744"/>
      <c r="G744"/>
      <c r="H744" s="11"/>
      <c r="I744"/>
      <c r="J744"/>
      <c r="L744"/>
      <c r="M744"/>
      <c r="N744"/>
      <c r="O744" s="59"/>
    </row>
    <row r="745" spans="1:34" x14ac:dyDescent="0.3">
      <c r="A745"/>
      <c r="B745"/>
      <c r="C745"/>
      <c r="D745"/>
      <c r="E745"/>
      <c r="F745"/>
      <c r="G745"/>
      <c r="H745" s="11"/>
      <c r="I745"/>
      <c r="J745"/>
      <c r="L745"/>
      <c r="M745"/>
      <c r="N745"/>
      <c r="O745" s="59"/>
    </row>
    <row r="746" spans="1:34" x14ac:dyDescent="0.3">
      <c r="A746"/>
      <c r="B746"/>
      <c r="C746"/>
      <c r="D746"/>
      <c r="E746"/>
      <c r="F746"/>
      <c r="G746"/>
      <c r="H746" s="11"/>
      <c r="I746"/>
      <c r="J746"/>
      <c r="L746"/>
      <c r="M746"/>
      <c r="N746"/>
      <c r="O746" s="59"/>
    </row>
    <row r="747" spans="1:34" x14ac:dyDescent="0.3">
      <c r="A747"/>
      <c r="B747"/>
      <c r="C747"/>
      <c r="D747"/>
      <c r="E747"/>
      <c r="F747"/>
      <c r="G747"/>
      <c r="H747" s="11"/>
      <c r="I747"/>
      <c r="J747"/>
      <c r="L747"/>
      <c r="M747"/>
      <c r="N747"/>
      <c r="O747" s="59"/>
    </row>
    <row r="748" spans="1:34" x14ac:dyDescent="0.3">
      <c r="A748"/>
      <c r="B748"/>
      <c r="C748"/>
      <c r="D748"/>
      <c r="E748"/>
      <c r="F748"/>
      <c r="G748"/>
      <c r="H748" s="11"/>
      <c r="I748"/>
      <c r="J748"/>
      <c r="L748"/>
      <c r="M748"/>
      <c r="N748"/>
      <c r="O748" s="59"/>
    </row>
    <row r="749" spans="1:34" x14ac:dyDescent="0.3">
      <c r="A749"/>
      <c r="B749"/>
      <c r="C749"/>
      <c r="D749"/>
      <c r="E749"/>
      <c r="F749"/>
      <c r="G749"/>
      <c r="H749" s="11"/>
      <c r="I749"/>
      <c r="J749"/>
      <c r="L749"/>
      <c r="M749"/>
      <c r="N749"/>
      <c r="O749" s="59"/>
      <c r="Q749" s="4"/>
      <c r="S749" s="8"/>
      <c r="T749" s="8"/>
      <c r="U749" s="8"/>
      <c r="V749" s="4"/>
      <c r="W749" s="8"/>
      <c r="X749" s="8"/>
      <c r="Y749" s="8"/>
      <c r="Z749" s="8"/>
      <c r="AA749" s="8"/>
      <c r="AB749" s="4"/>
      <c r="AC749" s="8"/>
      <c r="AD749" s="8"/>
      <c r="AE749" s="8"/>
      <c r="AF749" s="8"/>
      <c r="AG749" s="8"/>
      <c r="AH749" s="4"/>
    </row>
    <row r="750" spans="1:34" x14ac:dyDescent="0.3">
      <c r="A750"/>
      <c r="B750"/>
      <c r="C750"/>
      <c r="D750"/>
      <c r="E750"/>
      <c r="F750"/>
      <c r="G750"/>
      <c r="H750" s="11"/>
      <c r="I750"/>
      <c r="J750"/>
      <c r="L750"/>
      <c r="M750"/>
      <c r="N750"/>
      <c r="O750" s="59"/>
    </row>
    <row r="751" spans="1:34" x14ac:dyDescent="0.3">
      <c r="A751"/>
      <c r="B751"/>
      <c r="C751"/>
      <c r="D751"/>
      <c r="E751"/>
      <c r="F751"/>
      <c r="G751"/>
      <c r="H751" s="11"/>
      <c r="I751"/>
      <c r="J751"/>
      <c r="L751"/>
      <c r="M751"/>
      <c r="N751"/>
      <c r="O751" s="59"/>
    </row>
    <row r="752" spans="1:34" x14ac:dyDescent="0.3">
      <c r="A752"/>
      <c r="B752"/>
      <c r="C752"/>
      <c r="D752"/>
      <c r="E752"/>
      <c r="F752"/>
      <c r="G752"/>
      <c r="H752" s="11"/>
      <c r="I752"/>
      <c r="J752"/>
      <c r="L752"/>
      <c r="M752"/>
      <c r="N752"/>
      <c r="O752" s="59"/>
    </row>
    <row r="753" spans="1:34" x14ac:dyDescent="0.3">
      <c r="A753"/>
      <c r="B753"/>
      <c r="C753"/>
      <c r="D753"/>
      <c r="E753"/>
      <c r="F753"/>
      <c r="G753"/>
      <c r="H753" s="11"/>
      <c r="I753"/>
      <c r="J753"/>
      <c r="L753"/>
      <c r="M753"/>
      <c r="N753"/>
      <c r="O753" s="59"/>
    </row>
    <row r="754" spans="1:34" x14ac:dyDescent="0.3">
      <c r="A754"/>
      <c r="B754"/>
      <c r="C754"/>
      <c r="D754"/>
      <c r="E754"/>
      <c r="F754"/>
      <c r="G754"/>
      <c r="H754" s="11"/>
      <c r="I754"/>
      <c r="J754"/>
      <c r="L754"/>
      <c r="M754"/>
      <c r="N754"/>
      <c r="O754" s="59"/>
      <c r="Q754" s="4"/>
      <c r="S754" s="8"/>
      <c r="T754" s="8"/>
      <c r="U754" s="8"/>
      <c r="V754" s="4"/>
      <c r="W754" s="8"/>
      <c r="X754" s="8"/>
      <c r="Y754" s="8"/>
      <c r="Z754" s="8"/>
      <c r="AA754" s="8"/>
      <c r="AB754" s="4"/>
      <c r="AC754" s="8"/>
      <c r="AD754" s="8"/>
      <c r="AE754" s="8"/>
      <c r="AF754" s="8"/>
      <c r="AG754" s="8"/>
      <c r="AH754" s="4"/>
    </row>
    <row r="755" spans="1:34" x14ac:dyDescent="0.3">
      <c r="A755"/>
      <c r="B755"/>
      <c r="C755"/>
      <c r="D755"/>
      <c r="E755"/>
      <c r="F755"/>
      <c r="G755"/>
      <c r="H755" s="11"/>
      <c r="I755"/>
      <c r="J755"/>
      <c r="L755"/>
      <c r="M755"/>
      <c r="N755"/>
      <c r="O755" s="59"/>
    </row>
    <row r="756" spans="1:34" x14ac:dyDescent="0.3">
      <c r="A756"/>
      <c r="B756"/>
      <c r="C756"/>
      <c r="D756"/>
      <c r="E756"/>
      <c r="F756"/>
      <c r="G756"/>
      <c r="H756" s="11"/>
      <c r="I756"/>
      <c r="J756"/>
      <c r="L756"/>
      <c r="M756"/>
      <c r="N756"/>
      <c r="O756" s="59"/>
    </row>
    <row r="757" spans="1:34" x14ac:dyDescent="0.3">
      <c r="A757"/>
      <c r="B757"/>
      <c r="C757"/>
      <c r="D757"/>
      <c r="E757"/>
      <c r="F757"/>
      <c r="G757"/>
      <c r="H757" s="11"/>
      <c r="I757"/>
      <c r="J757"/>
      <c r="L757"/>
      <c r="M757"/>
      <c r="N757"/>
      <c r="O757" s="59"/>
    </row>
    <row r="758" spans="1:34" x14ac:dyDescent="0.3">
      <c r="A758"/>
      <c r="B758"/>
      <c r="C758"/>
      <c r="D758"/>
      <c r="E758"/>
      <c r="F758"/>
      <c r="G758"/>
      <c r="H758" s="11"/>
      <c r="I758"/>
      <c r="J758"/>
      <c r="L758"/>
      <c r="M758"/>
      <c r="N758"/>
      <c r="O758" s="59"/>
    </row>
    <row r="759" spans="1:34" x14ac:dyDescent="0.3">
      <c r="A759"/>
      <c r="B759"/>
      <c r="C759"/>
      <c r="D759"/>
      <c r="E759"/>
      <c r="F759"/>
      <c r="G759"/>
      <c r="H759" s="11"/>
      <c r="I759"/>
      <c r="J759"/>
      <c r="L759"/>
      <c r="M759"/>
      <c r="N759"/>
      <c r="O759" s="59"/>
    </row>
    <row r="760" spans="1:34" x14ac:dyDescent="0.3">
      <c r="A760"/>
      <c r="B760"/>
      <c r="C760"/>
      <c r="D760"/>
      <c r="E760"/>
      <c r="F760"/>
      <c r="G760"/>
      <c r="H760" s="11"/>
      <c r="I760"/>
      <c r="J760"/>
      <c r="L760"/>
      <c r="M760"/>
      <c r="N760"/>
      <c r="O760" s="59"/>
    </row>
    <row r="761" spans="1:34" x14ac:dyDescent="0.3">
      <c r="A761"/>
      <c r="B761"/>
      <c r="C761"/>
      <c r="D761"/>
      <c r="E761"/>
      <c r="F761"/>
      <c r="G761"/>
      <c r="H761" s="11"/>
      <c r="I761"/>
      <c r="J761"/>
      <c r="L761"/>
      <c r="M761"/>
      <c r="N761"/>
      <c r="O761" s="59"/>
    </row>
    <row r="762" spans="1:34" x14ac:dyDescent="0.3">
      <c r="A762"/>
      <c r="B762"/>
      <c r="C762"/>
      <c r="D762"/>
      <c r="E762"/>
      <c r="F762"/>
      <c r="G762"/>
      <c r="H762" s="11"/>
      <c r="I762"/>
      <c r="J762"/>
      <c r="L762"/>
      <c r="M762"/>
      <c r="N762"/>
      <c r="O762" s="59"/>
    </row>
    <row r="763" spans="1:34" x14ac:dyDescent="0.3">
      <c r="A763"/>
      <c r="B763"/>
      <c r="C763"/>
      <c r="D763"/>
      <c r="E763"/>
      <c r="F763"/>
      <c r="G763"/>
      <c r="H763" s="11"/>
      <c r="I763"/>
      <c r="J763"/>
      <c r="L763"/>
      <c r="M763"/>
      <c r="N763"/>
      <c r="O763" s="59"/>
    </row>
    <row r="764" spans="1:34" x14ac:dyDescent="0.3">
      <c r="A764"/>
      <c r="B764"/>
      <c r="C764"/>
      <c r="D764"/>
      <c r="E764"/>
      <c r="F764"/>
      <c r="G764"/>
      <c r="H764" s="11"/>
      <c r="I764"/>
      <c r="J764"/>
      <c r="L764"/>
      <c r="M764"/>
      <c r="N764"/>
      <c r="O764" s="59"/>
    </row>
    <row r="765" spans="1:34" x14ac:dyDescent="0.3">
      <c r="A765"/>
      <c r="B765"/>
      <c r="C765"/>
      <c r="D765"/>
      <c r="E765"/>
      <c r="F765"/>
      <c r="G765"/>
      <c r="H765" s="11"/>
      <c r="I765"/>
      <c r="J765"/>
      <c r="L765"/>
      <c r="M765"/>
      <c r="N765"/>
      <c r="O765" s="59"/>
    </row>
    <row r="766" spans="1:34" x14ac:dyDescent="0.3">
      <c r="A766"/>
      <c r="B766"/>
      <c r="C766"/>
      <c r="D766"/>
      <c r="E766"/>
      <c r="F766"/>
      <c r="G766"/>
      <c r="H766" s="11"/>
      <c r="I766"/>
      <c r="J766"/>
      <c r="L766"/>
      <c r="M766"/>
      <c r="N766"/>
      <c r="O766" s="59"/>
    </row>
    <row r="767" spans="1:34" x14ac:dyDescent="0.3">
      <c r="A767"/>
      <c r="B767"/>
      <c r="C767"/>
      <c r="D767"/>
      <c r="E767"/>
      <c r="F767"/>
      <c r="G767"/>
      <c r="H767" s="11"/>
      <c r="I767"/>
      <c r="J767"/>
      <c r="L767"/>
      <c r="M767"/>
      <c r="N767"/>
      <c r="O767" s="59"/>
    </row>
    <row r="768" spans="1:34" x14ac:dyDescent="0.3">
      <c r="A768"/>
      <c r="B768"/>
      <c r="C768"/>
      <c r="D768"/>
      <c r="E768"/>
      <c r="F768"/>
      <c r="G768"/>
      <c r="H768" s="11"/>
      <c r="I768"/>
      <c r="J768"/>
      <c r="L768"/>
      <c r="M768"/>
      <c r="N768"/>
      <c r="O768" s="59"/>
    </row>
    <row r="769" spans="1:34" x14ac:dyDescent="0.3">
      <c r="A769"/>
      <c r="B769"/>
      <c r="C769"/>
      <c r="D769"/>
      <c r="E769"/>
      <c r="F769"/>
      <c r="G769"/>
      <c r="H769" s="11"/>
      <c r="I769"/>
      <c r="J769"/>
      <c r="L769"/>
      <c r="M769"/>
      <c r="N769"/>
      <c r="O769" s="59"/>
      <c r="P769" s="10"/>
      <c r="Q769" s="4"/>
      <c r="S769" s="8"/>
      <c r="T769" s="8"/>
      <c r="U769" s="8"/>
      <c r="V769" s="4"/>
      <c r="W769" s="8"/>
      <c r="X769" s="8"/>
      <c r="Y769" s="8"/>
      <c r="Z769" s="8"/>
      <c r="AA769" s="8"/>
      <c r="AB769" s="4"/>
      <c r="AC769" s="8"/>
      <c r="AD769" s="8"/>
      <c r="AE769" s="8"/>
      <c r="AF769" s="8"/>
      <c r="AG769" s="8"/>
      <c r="AH769" s="4"/>
    </row>
    <row r="770" spans="1:34" x14ac:dyDescent="0.3">
      <c r="A770"/>
      <c r="B770"/>
      <c r="C770"/>
      <c r="D770"/>
      <c r="E770"/>
      <c r="F770"/>
      <c r="G770"/>
      <c r="H770" s="11"/>
      <c r="I770"/>
      <c r="J770"/>
      <c r="L770"/>
      <c r="M770"/>
      <c r="N770"/>
      <c r="O770" s="59"/>
    </row>
    <row r="771" spans="1:34" x14ac:dyDescent="0.3">
      <c r="A771"/>
      <c r="B771"/>
      <c r="C771"/>
      <c r="D771"/>
      <c r="E771"/>
      <c r="F771"/>
      <c r="G771"/>
      <c r="H771" s="11"/>
      <c r="I771"/>
      <c r="J771"/>
      <c r="L771"/>
      <c r="M771"/>
      <c r="N771"/>
      <c r="O771" s="59"/>
    </row>
    <row r="772" spans="1:34" x14ac:dyDescent="0.3">
      <c r="A772"/>
      <c r="B772"/>
      <c r="C772"/>
      <c r="D772"/>
      <c r="E772"/>
      <c r="F772"/>
      <c r="G772"/>
      <c r="H772" s="11"/>
      <c r="I772"/>
      <c r="J772"/>
      <c r="L772"/>
      <c r="M772"/>
      <c r="N772"/>
      <c r="O772" s="59"/>
    </row>
    <row r="773" spans="1:34" x14ac:dyDescent="0.3">
      <c r="A773"/>
      <c r="B773"/>
      <c r="C773"/>
      <c r="D773"/>
      <c r="E773"/>
      <c r="F773"/>
      <c r="G773"/>
      <c r="H773" s="11"/>
      <c r="I773"/>
      <c r="J773"/>
      <c r="L773"/>
      <c r="M773"/>
      <c r="N773"/>
      <c r="O773" s="59"/>
    </row>
    <row r="774" spans="1:34" x14ac:dyDescent="0.3">
      <c r="A774"/>
      <c r="B774"/>
      <c r="C774"/>
      <c r="D774"/>
      <c r="E774"/>
      <c r="F774"/>
      <c r="G774"/>
      <c r="H774" s="11"/>
      <c r="I774"/>
      <c r="J774"/>
      <c r="L774"/>
      <c r="M774"/>
      <c r="N774"/>
      <c r="O774" s="59"/>
      <c r="Q774" s="4"/>
      <c r="S774" s="8"/>
      <c r="T774" s="8"/>
      <c r="U774" s="8"/>
      <c r="V774" s="4"/>
      <c r="W774" s="8"/>
      <c r="X774" s="8"/>
      <c r="Y774" s="8"/>
      <c r="Z774" s="8"/>
      <c r="AA774" s="8"/>
      <c r="AB774" s="4"/>
      <c r="AC774" s="8"/>
      <c r="AD774" s="8"/>
      <c r="AE774" s="8"/>
      <c r="AF774" s="8"/>
      <c r="AG774" s="8"/>
      <c r="AH774" s="4"/>
    </row>
    <row r="775" spans="1:34" x14ac:dyDescent="0.3">
      <c r="A775"/>
      <c r="B775"/>
      <c r="C775"/>
      <c r="D775"/>
      <c r="E775"/>
      <c r="F775"/>
      <c r="G775"/>
      <c r="H775" s="11"/>
      <c r="I775"/>
      <c r="J775"/>
      <c r="L775"/>
      <c r="M775"/>
      <c r="N775"/>
      <c r="O775" s="59"/>
    </row>
    <row r="776" spans="1:34" x14ac:dyDescent="0.3">
      <c r="A776"/>
      <c r="B776"/>
      <c r="C776"/>
      <c r="D776"/>
      <c r="E776"/>
      <c r="F776"/>
      <c r="G776"/>
      <c r="H776" s="11"/>
      <c r="I776"/>
      <c r="J776"/>
      <c r="L776"/>
      <c r="M776"/>
      <c r="N776"/>
      <c r="O776" s="59"/>
    </row>
    <row r="777" spans="1:34" x14ac:dyDescent="0.3">
      <c r="A777"/>
      <c r="B777"/>
      <c r="C777"/>
      <c r="D777"/>
      <c r="E777"/>
      <c r="F777"/>
      <c r="G777"/>
      <c r="H777" s="11"/>
      <c r="I777"/>
      <c r="J777"/>
      <c r="L777"/>
      <c r="M777"/>
      <c r="N777"/>
      <c r="O777" s="59"/>
    </row>
    <row r="778" spans="1:34" x14ac:dyDescent="0.3">
      <c r="A778"/>
      <c r="B778"/>
      <c r="C778"/>
      <c r="D778"/>
      <c r="E778"/>
      <c r="F778"/>
      <c r="G778"/>
      <c r="H778" s="11"/>
      <c r="I778"/>
      <c r="J778"/>
      <c r="L778"/>
      <c r="M778"/>
      <c r="N778"/>
      <c r="O778" s="59"/>
    </row>
    <row r="779" spans="1:34" x14ac:dyDescent="0.3">
      <c r="A779"/>
      <c r="B779"/>
      <c r="C779"/>
      <c r="D779"/>
      <c r="E779"/>
      <c r="F779"/>
      <c r="G779"/>
      <c r="H779" s="11"/>
      <c r="I779"/>
      <c r="J779"/>
      <c r="L779"/>
      <c r="M779"/>
      <c r="N779"/>
      <c r="O779" s="59"/>
    </row>
    <row r="780" spans="1:34" x14ac:dyDescent="0.3">
      <c r="A780"/>
      <c r="B780"/>
      <c r="C780"/>
      <c r="D780"/>
      <c r="E780"/>
      <c r="F780"/>
      <c r="G780"/>
      <c r="H780" s="11"/>
      <c r="I780"/>
      <c r="J780"/>
      <c r="L780"/>
      <c r="M780"/>
      <c r="N780"/>
      <c r="O780" s="59"/>
    </row>
    <row r="781" spans="1:34" x14ac:dyDescent="0.3">
      <c r="A781"/>
      <c r="B781"/>
      <c r="C781"/>
      <c r="D781"/>
      <c r="E781"/>
      <c r="F781"/>
      <c r="G781"/>
      <c r="H781" s="11"/>
      <c r="I781"/>
      <c r="J781"/>
      <c r="L781"/>
      <c r="M781"/>
      <c r="N781"/>
      <c r="O781" s="59"/>
    </row>
    <row r="782" spans="1:34" x14ac:dyDescent="0.3">
      <c r="A782"/>
      <c r="B782"/>
      <c r="C782"/>
      <c r="D782"/>
      <c r="E782"/>
      <c r="F782"/>
      <c r="G782"/>
      <c r="H782" s="11"/>
      <c r="I782"/>
      <c r="J782"/>
      <c r="L782"/>
      <c r="M782"/>
      <c r="N782"/>
      <c r="O782" s="59"/>
    </row>
    <row r="783" spans="1:34" x14ac:dyDescent="0.3">
      <c r="A783"/>
      <c r="B783"/>
      <c r="C783"/>
      <c r="D783"/>
      <c r="E783"/>
      <c r="F783"/>
      <c r="G783"/>
      <c r="H783" s="11"/>
      <c r="I783"/>
      <c r="J783"/>
      <c r="L783"/>
      <c r="M783"/>
      <c r="N783"/>
      <c r="O783" s="59"/>
    </row>
    <row r="784" spans="1:34" x14ac:dyDescent="0.3">
      <c r="A784"/>
      <c r="B784"/>
      <c r="C784"/>
      <c r="D784"/>
      <c r="E784"/>
      <c r="F784"/>
      <c r="G784"/>
      <c r="H784" s="11"/>
      <c r="I784"/>
      <c r="J784"/>
      <c r="L784"/>
      <c r="M784"/>
      <c r="N784"/>
      <c r="O784" s="59"/>
    </row>
    <row r="785" spans="1:15" x14ac:dyDescent="0.3">
      <c r="A785"/>
      <c r="B785"/>
      <c r="C785"/>
      <c r="D785"/>
      <c r="E785"/>
      <c r="F785"/>
      <c r="G785"/>
      <c r="H785" s="11"/>
      <c r="I785"/>
      <c r="J785"/>
      <c r="L785"/>
      <c r="M785"/>
      <c r="N785"/>
      <c r="O785" s="59"/>
    </row>
    <row r="786" spans="1:15" x14ac:dyDescent="0.3">
      <c r="A786"/>
      <c r="B786"/>
      <c r="C786"/>
      <c r="D786"/>
      <c r="E786"/>
      <c r="F786"/>
      <c r="G786"/>
      <c r="H786" s="11"/>
      <c r="I786"/>
      <c r="J786"/>
      <c r="L786"/>
      <c r="M786"/>
      <c r="N786"/>
      <c r="O786" s="59"/>
    </row>
    <row r="787" spans="1:15" x14ac:dyDescent="0.3">
      <c r="A787"/>
      <c r="B787"/>
      <c r="C787"/>
      <c r="D787"/>
      <c r="E787"/>
      <c r="F787"/>
      <c r="G787"/>
      <c r="H787" s="11"/>
      <c r="I787"/>
      <c r="J787"/>
      <c r="L787"/>
      <c r="M787"/>
      <c r="N787"/>
      <c r="O787" s="59"/>
    </row>
    <row r="788" spans="1:15" x14ac:dyDescent="0.3">
      <c r="A788"/>
      <c r="B788"/>
      <c r="C788"/>
      <c r="D788"/>
      <c r="E788"/>
      <c r="F788"/>
      <c r="G788"/>
      <c r="H788" s="11"/>
      <c r="I788"/>
      <c r="J788"/>
      <c r="L788"/>
      <c r="M788"/>
      <c r="N788"/>
      <c r="O788" s="59"/>
    </row>
    <row r="789" spans="1:15" x14ac:dyDescent="0.3">
      <c r="A789"/>
      <c r="B789"/>
      <c r="C789"/>
      <c r="D789"/>
      <c r="E789"/>
      <c r="F789"/>
      <c r="G789"/>
      <c r="H789" s="11"/>
      <c r="I789"/>
      <c r="J789"/>
      <c r="L789"/>
      <c r="M789"/>
      <c r="N789"/>
      <c r="O789" s="59"/>
    </row>
    <row r="790" spans="1:15" x14ac:dyDescent="0.3">
      <c r="A790"/>
      <c r="B790"/>
      <c r="C790"/>
      <c r="D790"/>
      <c r="E790"/>
      <c r="F790"/>
      <c r="G790"/>
      <c r="H790" s="11"/>
      <c r="I790"/>
      <c r="J790"/>
      <c r="L790"/>
      <c r="M790"/>
      <c r="N790"/>
      <c r="O790" s="59"/>
    </row>
    <row r="791" spans="1:15" x14ac:dyDescent="0.3">
      <c r="A791"/>
      <c r="B791"/>
      <c r="C791"/>
      <c r="D791"/>
      <c r="E791"/>
      <c r="F791"/>
      <c r="G791"/>
      <c r="H791" s="11"/>
      <c r="I791"/>
      <c r="J791"/>
      <c r="L791"/>
      <c r="M791"/>
      <c r="N791"/>
      <c r="O791" s="59"/>
    </row>
    <row r="792" spans="1:15" x14ac:dyDescent="0.3">
      <c r="A792"/>
      <c r="B792"/>
      <c r="C792"/>
      <c r="D792"/>
      <c r="E792"/>
      <c r="F792"/>
      <c r="G792"/>
      <c r="H792" s="11"/>
      <c r="I792"/>
      <c r="J792"/>
      <c r="L792"/>
      <c r="M792"/>
      <c r="N792"/>
      <c r="O792" s="59"/>
    </row>
    <row r="793" spans="1:15" x14ac:dyDescent="0.3">
      <c r="A793"/>
      <c r="B793"/>
      <c r="C793"/>
      <c r="D793"/>
      <c r="E793"/>
      <c r="F793"/>
      <c r="G793"/>
      <c r="H793" s="11"/>
      <c r="I793"/>
      <c r="J793"/>
      <c r="L793"/>
      <c r="M793"/>
      <c r="N793"/>
      <c r="O793" s="59"/>
    </row>
    <row r="794" spans="1:15" x14ac:dyDescent="0.3">
      <c r="A794"/>
      <c r="B794"/>
      <c r="C794"/>
      <c r="D794"/>
      <c r="E794"/>
      <c r="F794"/>
      <c r="G794"/>
      <c r="H794" s="11"/>
      <c r="I794"/>
      <c r="J794"/>
      <c r="L794"/>
      <c r="M794"/>
      <c r="N794"/>
      <c r="O794" s="59"/>
    </row>
    <row r="795" spans="1:15" x14ac:dyDescent="0.3">
      <c r="A795"/>
      <c r="B795"/>
      <c r="C795"/>
      <c r="D795"/>
      <c r="E795"/>
      <c r="F795"/>
      <c r="G795"/>
      <c r="H795" s="11"/>
      <c r="I795"/>
      <c r="J795"/>
      <c r="L795"/>
      <c r="M795"/>
      <c r="N795"/>
      <c r="O795" s="59"/>
    </row>
    <row r="796" spans="1:15" x14ac:dyDescent="0.3">
      <c r="A796"/>
      <c r="B796"/>
      <c r="C796"/>
      <c r="D796"/>
      <c r="E796"/>
      <c r="F796"/>
      <c r="G796"/>
      <c r="H796" s="11"/>
      <c r="I796"/>
      <c r="J796"/>
      <c r="L796"/>
      <c r="M796"/>
      <c r="N796"/>
      <c r="O796" s="59"/>
    </row>
    <row r="797" spans="1:15" x14ac:dyDescent="0.3">
      <c r="A797"/>
      <c r="B797"/>
      <c r="C797"/>
      <c r="D797"/>
      <c r="E797"/>
      <c r="F797"/>
      <c r="G797"/>
      <c r="H797" s="11"/>
      <c r="I797"/>
      <c r="J797"/>
      <c r="L797"/>
      <c r="M797"/>
      <c r="N797"/>
      <c r="O797" s="59"/>
    </row>
    <row r="798" spans="1:15" x14ac:dyDescent="0.3">
      <c r="A798"/>
      <c r="B798"/>
      <c r="C798"/>
      <c r="D798"/>
      <c r="E798"/>
      <c r="F798"/>
      <c r="G798"/>
      <c r="H798" s="11"/>
      <c r="I798"/>
      <c r="J798"/>
      <c r="L798"/>
      <c r="M798"/>
      <c r="N798"/>
      <c r="O798" s="59"/>
    </row>
    <row r="799" spans="1:15" x14ac:dyDescent="0.3">
      <c r="A799"/>
      <c r="B799"/>
      <c r="C799"/>
      <c r="D799"/>
      <c r="E799"/>
      <c r="F799"/>
      <c r="G799"/>
      <c r="H799" s="11"/>
      <c r="I799"/>
      <c r="J799"/>
      <c r="L799"/>
      <c r="M799"/>
      <c r="N799"/>
      <c r="O799" s="59"/>
    </row>
    <row r="800" spans="1:15" x14ac:dyDescent="0.3">
      <c r="A800"/>
      <c r="B800"/>
      <c r="C800"/>
      <c r="D800"/>
      <c r="E800"/>
      <c r="F800"/>
      <c r="G800"/>
      <c r="H800" s="11"/>
      <c r="I800"/>
      <c r="J800"/>
      <c r="L800"/>
      <c r="M800"/>
      <c r="N800"/>
      <c r="O800" s="59"/>
    </row>
    <row r="801" spans="1:34" x14ac:dyDescent="0.3">
      <c r="A801"/>
      <c r="B801"/>
      <c r="C801"/>
      <c r="D801"/>
      <c r="E801"/>
      <c r="F801"/>
      <c r="G801"/>
      <c r="H801" s="11"/>
      <c r="I801"/>
      <c r="J801"/>
      <c r="L801"/>
      <c r="M801"/>
      <c r="N801"/>
      <c r="O801" s="59"/>
    </row>
    <row r="802" spans="1:34" x14ac:dyDescent="0.3">
      <c r="A802"/>
      <c r="B802"/>
      <c r="C802"/>
      <c r="D802"/>
      <c r="E802"/>
      <c r="F802"/>
      <c r="G802"/>
      <c r="H802" s="11"/>
      <c r="I802"/>
      <c r="J802"/>
      <c r="L802"/>
      <c r="M802"/>
      <c r="N802"/>
      <c r="O802" s="59"/>
    </row>
    <row r="803" spans="1:34" x14ac:dyDescent="0.3">
      <c r="A803"/>
      <c r="B803"/>
      <c r="C803"/>
      <c r="D803"/>
      <c r="E803"/>
      <c r="F803"/>
      <c r="G803"/>
      <c r="H803" s="11"/>
      <c r="I803"/>
      <c r="J803"/>
      <c r="L803"/>
      <c r="M803"/>
      <c r="N803"/>
      <c r="O803" s="59"/>
    </row>
    <row r="804" spans="1:34" x14ac:dyDescent="0.3">
      <c r="A804"/>
      <c r="B804"/>
      <c r="C804"/>
      <c r="D804"/>
      <c r="E804"/>
      <c r="F804"/>
      <c r="G804"/>
      <c r="H804" s="11"/>
      <c r="I804"/>
      <c r="J804"/>
      <c r="L804"/>
      <c r="M804"/>
      <c r="N804"/>
      <c r="O804" s="59"/>
    </row>
    <row r="805" spans="1:34" x14ac:dyDescent="0.3">
      <c r="A805"/>
      <c r="B805"/>
      <c r="C805"/>
      <c r="D805"/>
      <c r="E805"/>
      <c r="F805"/>
      <c r="G805"/>
      <c r="H805" s="11"/>
      <c r="I805"/>
      <c r="J805"/>
      <c r="L805"/>
      <c r="M805"/>
      <c r="N805"/>
      <c r="O805" s="59"/>
    </row>
    <row r="806" spans="1:34" x14ac:dyDescent="0.3">
      <c r="A806"/>
      <c r="B806"/>
      <c r="C806"/>
      <c r="D806"/>
      <c r="E806"/>
      <c r="F806"/>
      <c r="G806"/>
      <c r="H806" s="11"/>
      <c r="I806"/>
      <c r="J806"/>
      <c r="L806"/>
      <c r="M806"/>
      <c r="N806"/>
      <c r="O806" s="59"/>
    </row>
    <row r="807" spans="1:34" x14ac:dyDescent="0.3">
      <c r="A807"/>
      <c r="B807"/>
      <c r="C807"/>
      <c r="D807"/>
      <c r="E807"/>
      <c r="F807"/>
      <c r="G807"/>
      <c r="H807" s="11"/>
      <c r="I807"/>
      <c r="J807"/>
      <c r="L807"/>
      <c r="M807"/>
      <c r="N807"/>
      <c r="O807" s="59"/>
    </row>
    <row r="808" spans="1:34" x14ac:dyDescent="0.3">
      <c r="A808"/>
      <c r="B808"/>
      <c r="C808"/>
      <c r="D808"/>
      <c r="E808"/>
      <c r="F808"/>
      <c r="G808"/>
      <c r="H808" s="11"/>
      <c r="I808"/>
      <c r="J808"/>
      <c r="L808"/>
      <c r="M808"/>
      <c r="N808"/>
      <c r="O808" s="59"/>
    </row>
    <row r="809" spans="1:34" x14ac:dyDescent="0.3">
      <c r="A809"/>
      <c r="B809"/>
      <c r="C809"/>
      <c r="D809"/>
      <c r="E809"/>
      <c r="F809"/>
      <c r="G809"/>
      <c r="H809" s="11"/>
      <c r="I809"/>
      <c r="J809"/>
      <c r="L809"/>
      <c r="M809"/>
      <c r="N809"/>
      <c r="O809" s="59"/>
      <c r="P809" s="10"/>
      <c r="Q809" s="4"/>
      <c r="S809" s="8"/>
      <c r="T809" s="8"/>
      <c r="U809" s="8"/>
      <c r="V809" s="4"/>
      <c r="W809" s="8"/>
      <c r="X809" s="8"/>
      <c r="Y809" s="8"/>
      <c r="Z809" s="8"/>
      <c r="AA809" s="8"/>
      <c r="AB809" s="4"/>
      <c r="AC809" s="8"/>
      <c r="AD809" s="8"/>
      <c r="AE809" s="8"/>
      <c r="AF809" s="8"/>
      <c r="AG809" s="8"/>
      <c r="AH809" s="4"/>
    </row>
    <row r="810" spans="1:34" x14ac:dyDescent="0.3">
      <c r="A810"/>
      <c r="B810"/>
      <c r="C810"/>
      <c r="D810"/>
      <c r="E810"/>
      <c r="F810"/>
      <c r="G810"/>
      <c r="H810" s="11"/>
      <c r="I810"/>
      <c r="J810"/>
      <c r="L810"/>
      <c r="M810"/>
      <c r="N810"/>
      <c r="O810" s="59"/>
    </row>
    <row r="811" spans="1:34" x14ac:dyDescent="0.3">
      <c r="A811"/>
      <c r="B811"/>
      <c r="C811"/>
      <c r="D811"/>
      <c r="E811"/>
      <c r="F811"/>
      <c r="G811"/>
      <c r="H811" s="11"/>
      <c r="I811"/>
      <c r="J811"/>
      <c r="L811"/>
      <c r="M811"/>
      <c r="N811"/>
      <c r="O811" s="59"/>
    </row>
    <row r="812" spans="1:34" x14ac:dyDescent="0.3">
      <c r="A812"/>
      <c r="B812"/>
      <c r="C812"/>
      <c r="D812"/>
      <c r="E812"/>
      <c r="F812"/>
      <c r="G812"/>
      <c r="H812" s="11"/>
      <c r="I812"/>
      <c r="J812"/>
      <c r="L812"/>
      <c r="M812"/>
      <c r="N812"/>
      <c r="O812" s="59"/>
    </row>
    <row r="813" spans="1:34" x14ac:dyDescent="0.3">
      <c r="A813"/>
      <c r="B813"/>
      <c r="C813"/>
      <c r="D813"/>
      <c r="E813"/>
      <c r="F813"/>
      <c r="G813"/>
      <c r="H813" s="11"/>
      <c r="I813"/>
      <c r="J813"/>
      <c r="L813"/>
      <c r="M813"/>
      <c r="N813"/>
      <c r="O813" s="59"/>
    </row>
    <row r="814" spans="1:34" x14ac:dyDescent="0.3">
      <c r="A814"/>
      <c r="B814"/>
      <c r="C814"/>
      <c r="D814"/>
      <c r="E814"/>
      <c r="F814"/>
      <c r="G814"/>
      <c r="H814" s="11"/>
      <c r="I814"/>
      <c r="J814"/>
      <c r="L814"/>
      <c r="M814"/>
      <c r="N814"/>
      <c r="O814" s="59"/>
    </row>
    <row r="815" spans="1:34" x14ac:dyDescent="0.3">
      <c r="A815"/>
      <c r="B815"/>
      <c r="C815"/>
      <c r="D815"/>
      <c r="E815"/>
      <c r="F815"/>
      <c r="G815"/>
      <c r="H815" s="11"/>
      <c r="I815"/>
      <c r="J815"/>
      <c r="L815"/>
      <c r="M815"/>
      <c r="N815"/>
      <c r="O815" s="59"/>
    </row>
    <row r="816" spans="1:34" x14ac:dyDescent="0.3">
      <c r="A816"/>
      <c r="B816"/>
      <c r="C816"/>
      <c r="D816"/>
      <c r="E816"/>
      <c r="F816"/>
      <c r="G816"/>
      <c r="H816" s="11"/>
      <c r="I816"/>
      <c r="J816"/>
      <c r="L816"/>
      <c r="M816"/>
      <c r="N816"/>
      <c r="O816" s="59"/>
    </row>
    <row r="817" spans="1:15" x14ac:dyDescent="0.3">
      <c r="A817"/>
      <c r="B817"/>
      <c r="C817"/>
      <c r="D817"/>
      <c r="E817"/>
      <c r="F817"/>
      <c r="G817"/>
      <c r="H817" s="11"/>
      <c r="I817"/>
      <c r="J817"/>
      <c r="L817"/>
      <c r="M817"/>
      <c r="N817"/>
      <c r="O817" s="59"/>
    </row>
    <row r="818" spans="1:15" x14ac:dyDescent="0.3">
      <c r="A818"/>
      <c r="B818"/>
      <c r="C818"/>
      <c r="D818"/>
      <c r="E818"/>
      <c r="F818"/>
      <c r="G818"/>
      <c r="H818" s="11"/>
      <c r="I818"/>
      <c r="J818"/>
      <c r="L818"/>
      <c r="M818"/>
      <c r="N818"/>
      <c r="O818" s="59"/>
    </row>
    <row r="819" spans="1:15" x14ac:dyDescent="0.3">
      <c r="A819"/>
      <c r="B819"/>
      <c r="C819"/>
      <c r="D819"/>
      <c r="E819"/>
      <c r="F819"/>
      <c r="G819"/>
      <c r="H819" s="11"/>
      <c r="I819"/>
      <c r="J819"/>
      <c r="L819"/>
      <c r="M819"/>
      <c r="N819"/>
      <c r="O819" s="59"/>
    </row>
    <row r="820" spans="1:15" x14ac:dyDescent="0.3">
      <c r="A820"/>
      <c r="B820"/>
      <c r="C820"/>
      <c r="D820"/>
      <c r="E820"/>
      <c r="F820"/>
      <c r="G820"/>
      <c r="H820" s="11"/>
      <c r="I820"/>
      <c r="J820"/>
      <c r="L820"/>
      <c r="M820"/>
      <c r="N820"/>
      <c r="O820" s="59"/>
    </row>
    <row r="821" spans="1:15" x14ac:dyDescent="0.3">
      <c r="A821"/>
      <c r="B821"/>
      <c r="C821"/>
      <c r="D821"/>
      <c r="E821"/>
      <c r="F821"/>
      <c r="G821"/>
      <c r="H821" s="11"/>
      <c r="I821"/>
      <c r="J821"/>
      <c r="L821"/>
      <c r="M821"/>
      <c r="N821"/>
      <c r="O821" s="59"/>
    </row>
    <row r="822" spans="1:15" x14ac:dyDescent="0.3">
      <c r="A822"/>
      <c r="B822"/>
      <c r="C822"/>
      <c r="D822"/>
      <c r="E822"/>
      <c r="F822"/>
      <c r="G822"/>
      <c r="H822" s="11"/>
      <c r="I822"/>
      <c r="J822"/>
      <c r="L822"/>
      <c r="M822"/>
      <c r="N822"/>
      <c r="O822" s="59"/>
    </row>
    <row r="823" spans="1:15" x14ac:dyDescent="0.3">
      <c r="A823"/>
      <c r="B823"/>
      <c r="C823"/>
      <c r="D823"/>
      <c r="E823"/>
      <c r="F823"/>
      <c r="G823"/>
      <c r="H823" s="11"/>
      <c r="I823"/>
      <c r="J823"/>
      <c r="L823"/>
      <c r="M823"/>
      <c r="N823"/>
      <c r="O823" s="59"/>
    </row>
    <row r="824" spans="1:15" x14ac:dyDescent="0.3">
      <c r="A824"/>
      <c r="B824"/>
      <c r="C824"/>
      <c r="D824"/>
      <c r="E824"/>
      <c r="F824"/>
      <c r="G824"/>
      <c r="H824" s="11"/>
      <c r="I824"/>
      <c r="J824"/>
      <c r="L824"/>
      <c r="M824"/>
      <c r="N824"/>
      <c r="O824" s="59"/>
    </row>
    <row r="825" spans="1:15" x14ac:dyDescent="0.3">
      <c r="A825"/>
      <c r="B825"/>
      <c r="C825"/>
      <c r="D825"/>
      <c r="E825"/>
      <c r="F825"/>
      <c r="G825"/>
      <c r="H825" s="11"/>
      <c r="I825"/>
      <c r="J825"/>
      <c r="L825"/>
      <c r="M825"/>
      <c r="N825"/>
      <c r="O825" s="59"/>
    </row>
    <row r="826" spans="1:15" x14ac:dyDescent="0.3">
      <c r="A826"/>
      <c r="B826"/>
      <c r="C826"/>
      <c r="D826"/>
      <c r="E826"/>
      <c r="F826"/>
      <c r="G826"/>
      <c r="H826" s="11"/>
      <c r="I826"/>
      <c r="J826"/>
      <c r="L826"/>
      <c r="M826"/>
      <c r="N826"/>
      <c r="O826" s="59"/>
    </row>
    <row r="827" spans="1:15" x14ac:dyDescent="0.3">
      <c r="A827"/>
      <c r="B827"/>
      <c r="C827"/>
      <c r="D827"/>
      <c r="E827"/>
      <c r="F827"/>
      <c r="G827"/>
      <c r="H827" s="11"/>
      <c r="I827"/>
      <c r="J827"/>
      <c r="L827"/>
      <c r="M827"/>
      <c r="N827"/>
      <c r="O827" s="59"/>
    </row>
    <row r="828" spans="1:15" x14ac:dyDescent="0.3">
      <c r="A828"/>
      <c r="B828"/>
      <c r="C828"/>
      <c r="D828"/>
      <c r="E828"/>
      <c r="F828"/>
      <c r="G828"/>
      <c r="H828" s="11"/>
      <c r="I828"/>
      <c r="J828"/>
      <c r="L828"/>
      <c r="M828"/>
      <c r="N828"/>
      <c r="O828" s="59"/>
    </row>
    <row r="829" spans="1:15" x14ac:dyDescent="0.3">
      <c r="A829"/>
      <c r="B829"/>
      <c r="C829"/>
      <c r="D829"/>
      <c r="E829"/>
      <c r="F829"/>
      <c r="G829"/>
      <c r="H829" s="11"/>
      <c r="I829"/>
      <c r="J829"/>
      <c r="L829"/>
      <c r="M829"/>
      <c r="N829"/>
      <c r="O829" s="59"/>
    </row>
    <row r="830" spans="1:15" x14ac:dyDescent="0.3">
      <c r="A830"/>
      <c r="B830"/>
      <c r="C830"/>
      <c r="D830"/>
      <c r="E830"/>
      <c r="F830"/>
      <c r="G830"/>
      <c r="H830" s="11"/>
      <c r="I830"/>
      <c r="J830"/>
      <c r="L830"/>
      <c r="M830"/>
      <c r="N830"/>
      <c r="O830" s="59"/>
    </row>
    <row r="831" spans="1:15" x14ac:dyDescent="0.3">
      <c r="A831"/>
      <c r="B831"/>
      <c r="C831"/>
      <c r="D831"/>
      <c r="E831"/>
      <c r="F831"/>
      <c r="G831"/>
      <c r="H831" s="11"/>
      <c r="I831"/>
      <c r="J831"/>
      <c r="L831"/>
      <c r="M831"/>
      <c r="N831"/>
      <c r="O831" s="59"/>
    </row>
    <row r="832" spans="1:15" x14ac:dyDescent="0.3">
      <c r="A832"/>
      <c r="B832"/>
      <c r="C832"/>
      <c r="D832"/>
      <c r="E832"/>
      <c r="F832"/>
      <c r="G832"/>
      <c r="H832" s="11"/>
      <c r="I832"/>
      <c r="J832"/>
      <c r="L832"/>
      <c r="M832"/>
      <c r="N832"/>
      <c r="O832" s="59"/>
    </row>
    <row r="833" spans="1:15" x14ac:dyDescent="0.3">
      <c r="A833"/>
      <c r="B833"/>
      <c r="C833"/>
      <c r="D833"/>
      <c r="E833"/>
      <c r="F833"/>
      <c r="G833"/>
      <c r="H833" s="11"/>
      <c r="I833"/>
      <c r="J833"/>
      <c r="L833"/>
      <c r="M833"/>
      <c r="N833"/>
      <c r="O833" s="59"/>
    </row>
    <row r="834" spans="1:15" x14ac:dyDescent="0.3">
      <c r="A834"/>
      <c r="B834"/>
      <c r="C834"/>
      <c r="D834"/>
      <c r="E834"/>
      <c r="F834"/>
      <c r="G834"/>
      <c r="H834" s="11"/>
      <c r="I834"/>
      <c r="J834"/>
      <c r="L834"/>
      <c r="M834"/>
      <c r="N834"/>
      <c r="O834" s="59"/>
    </row>
    <row r="835" spans="1:15" x14ac:dyDescent="0.3">
      <c r="A835"/>
      <c r="B835"/>
      <c r="C835"/>
      <c r="D835"/>
      <c r="E835"/>
      <c r="F835"/>
      <c r="G835"/>
      <c r="H835" s="11"/>
      <c r="I835"/>
      <c r="J835"/>
      <c r="L835"/>
      <c r="M835"/>
      <c r="N835"/>
      <c r="O835" s="59"/>
    </row>
    <row r="836" spans="1:15" x14ac:dyDescent="0.3">
      <c r="A836"/>
      <c r="B836"/>
      <c r="C836"/>
      <c r="D836"/>
      <c r="E836"/>
      <c r="F836"/>
      <c r="G836"/>
      <c r="H836" s="11"/>
      <c r="I836"/>
      <c r="J836"/>
      <c r="L836"/>
      <c r="M836"/>
      <c r="N836"/>
      <c r="O836" s="59"/>
    </row>
    <row r="837" spans="1:15" x14ac:dyDescent="0.3">
      <c r="A837"/>
      <c r="B837"/>
      <c r="C837"/>
      <c r="D837"/>
      <c r="E837"/>
      <c r="F837"/>
      <c r="G837"/>
      <c r="H837" s="11"/>
      <c r="I837"/>
      <c r="J837"/>
      <c r="L837"/>
      <c r="M837"/>
      <c r="N837"/>
      <c r="O837" s="59"/>
    </row>
    <row r="838" spans="1:15" x14ac:dyDescent="0.3">
      <c r="A838"/>
      <c r="B838"/>
      <c r="C838"/>
      <c r="D838"/>
      <c r="E838"/>
      <c r="F838"/>
      <c r="G838"/>
      <c r="H838" s="11"/>
      <c r="I838"/>
      <c r="J838"/>
      <c r="L838"/>
      <c r="M838"/>
      <c r="N838"/>
      <c r="O838" s="59"/>
    </row>
    <row r="839" spans="1:15" x14ac:dyDescent="0.3">
      <c r="A839"/>
      <c r="B839"/>
      <c r="C839"/>
      <c r="D839"/>
      <c r="E839"/>
      <c r="F839"/>
      <c r="G839"/>
      <c r="H839" s="11"/>
      <c r="I839"/>
      <c r="J839"/>
      <c r="L839"/>
      <c r="M839"/>
      <c r="N839"/>
      <c r="O839" s="59"/>
    </row>
    <row r="840" spans="1:15" x14ac:dyDescent="0.3">
      <c r="A840"/>
      <c r="B840"/>
      <c r="C840"/>
      <c r="D840"/>
      <c r="E840"/>
      <c r="F840"/>
      <c r="G840"/>
      <c r="H840" s="11"/>
      <c r="I840"/>
      <c r="J840"/>
      <c r="L840"/>
      <c r="M840"/>
      <c r="N840"/>
      <c r="O840" s="59"/>
    </row>
    <row r="841" spans="1:15" x14ac:dyDescent="0.3">
      <c r="A841"/>
      <c r="B841"/>
      <c r="C841"/>
      <c r="D841"/>
      <c r="E841"/>
      <c r="F841"/>
      <c r="G841"/>
      <c r="H841" s="11"/>
      <c r="I841"/>
      <c r="J841"/>
      <c r="L841"/>
      <c r="M841"/>
      <c r="N841"/>
      <c r="O841" s="59"/>
    </row>
    <row r="842" spans="1:15" x14ac:dyDescent="0.3">
      <c r="A842"/>
      <c r="B842"/>
      <c r="C842"/>
      <c r="D842"/>
      <c r="E842"/>
      <c r="F842"/>
      <c r="G842"/>
      <c r="H842" s="11"/>
      <c r="I842"/>
      <c r="J842"/>
      <c r="L842"/>
      <c r="M842"/>
      <c r="N842"/>
      <c r="O842" s="59"/>
    </row>
    <row r="843" spans="1:15" x14ac:dyDescent="0.3">
      <c r="A843"/>
      <c r="B843"/>
      <c r="C843"/>
      <c r="D843"/>
      <c r="E843"/>
      <c r="F843"/>
      <c r="G843"/>
      <c r="H843" s="11"/>
      <c r="I843"/>
      <c r="J843"/>
      <c r="L843"/>
      <c r="M843"/>
      <c r="N843"/>
      <c r="O843" s="59"/>
    </row>
    <row r="844" spans="1:15" x14ac:dyDescent="0.3">
      <c r="A844"/>
      <c r="B844"/>
      <c r="C844"/>
      <c r="D844"/>
      <c r="E844"/>
      <c r="F844"/>
      <c r="G844"/>
      <c r="H844" s="11"/>
      <c r="I844"/>
      <c r="J844"/>
      <c r="L844"/>
      <c r="M844"/>
      <c r="N844"/>
      <c r="O844" s="59"/>
    </row>
    <row r="845" spans="1:15" x14ac:dyDescent="0.3">
      <c r="A845"/>
      <c r="B845"/>
      <c r="C845"/>
      <c r="D845"/>
      <c r="E845"/>
      <c r="F845"/>
      <c r="G845"/>
      <c r="H845" s="11"/>
      <c r="I845"/>
      <c r="J845"/>
      <c r="L845"/>
      <c r="M845"/>
      <c r="N845"/>
      <c r="O845" s="59"/>
    </row>
    <row r="846" spans="1:15" x14ac:dyDescent="0.3">
      <c r="A846"/>
      <c r="B846"/>
      <c r="C846"/>
      <c r="D846"/>
      <c r="E846"/>
      <c r="F846"/>
      <c r="G846"/>
      <c r="H846" s="11"/>
      <c r="I846"/>
      <c r="J846"/>
      <c r="L846"/>
      <c r="M846"/>
      <c r="N846"/>
      <c r="O846" s="59"/>
    </row>
    <row r="847" spans="1:15" x14ac:dyDescent="0.3">
      <c r="A847"/>
      <c r="B847"/>
      <c r="C847"/>
      <c r="D847"/>
      <c r="E847"/>
      <c r="F847"/>
      <c r="G847"/>
      <c r="H847" s="11"/>
      <c r="I847"/>
      <c r="J847"/>
      <c r="L847"/>
      <c r="M847"/>
      <c r="N847"/>
      <c r="O847" s="59"/>
    </row>
    <row r="848" spans="1:15" x14ac:dyDescent="0.3">
      <c r="A848"/>
      <c r="B848"/>
      <c r="C848"/>
      <c r="D848"/>
      <c r="E848"/>
      <c r="F848"/>
      <c r="G848"/>
      <c r="H848" s="11"/>
      <c r="I848"/>
      <c r="J848"/>
      <c r="L848"/>
      <c r="M848"/>
      <c r="N848"/>
      <c r="O848" s="59"/>
    </row>
    <row r="849" spans="1:15" x14ac:dyDescent="0.3">
      <c r="A849"/>
      <c r="B849"/>
      <c r="C849"/>
      <c r="D849"/>
      <c r="E849"/>
      <c r="F849"/>
      <c r="G849"/>
      <c r="H849" s="11"/>
      <c r="I849"/>
      <c r="J849"/>
      <c r="L849"/>
      <c r="M849"/>
      <c r="N849"/>
      <c r="O849" s="59"/>
    </row>
    <row r="850" spans="1:15" x14ac:dyDescent="0.3">
      <c r="A850"/>
      <c r="B850"/>
      <c r="C850"/>
      <c r="D850"/>
      <c r="E850"/>
      <c r="F850"/>
      <c r="G850"/>
      <c r="H850" s="11"/>
      <c r="I850"/>
      <c r="J850"/>
      <c r="L850"/>
      <c r="M850"/>
      <c r="N850"/>
      <c r="O850" s="59"/>
    </row>
    <row r="851" spans="1:15" x14ac:dyDescent="0.3">
      <c r="A851"/>
      <c r="B851"/>
      <c r="C851"/>
      <c r="D851"/>
      <c r="E851"/>
      <c r="F851"/>
      <c r="G851"/>
      <c r="H851" s="11"/>
      <c r="I851"/>
      <c r="J851"/>
      <c r="L851"/>
      <c r="M851"/>
      <c r="N851"/>
      <c r="O851" s="59"/>
    </row>
    <row r="852" spans="1:15" x14ac:dyDescent="0.3">
      <c r="A852"/>
      <c r="B852"/>
      <c r="C852"/>
      <c r="D852"/>
      <c r="E852"/>
      <c r="F852"/>
      <c r="G852"/>
      <c r="H852" s="11"/>
      <c r="I852"/>
      <c r="J852"/>
      <c r="L852"/>
      <c r="M852"/>
      <c r="N852"/>
      <c r="O852" s="59"/>
    </row>
    <row r="853" spans="1:15" x14ac:dyDescent="0.3">
      <c r="A853"/>
      <c r="B853"/>
      <c r="C853"/>
      <c r="D853"/>
      <c r="E853"/>
      <c r="F853"/>
      <c r="G853"/>
      <c r="H853" s="11"/>
      <c r="I853"/>
      <c r="J853"/>
      <c r="L853"/>
      <c r="M853"/>
      <c r="N853"/>
      <c r="O853" s="59"/>
    </row>
    <row r="854" spans="1:15" x14ac:dyDescent="0.3">
      <c r="A854"/>
      <c r="B854"/>
      <c r="C854"/>
      <c r="D854"/>
      <c r="E854"/>
      <c r="F854"/>
      <c r="G854"/>
      <c r="H854" s="11"/>
      <c r="I854"/>
      <c r="J854"/>
      <c r="L854"/>
      <c r="M854"/>
      <c r="N854"/>
      <c r="O854" s="59"/>
    </row>
    <row r="855" spans="1:15" x14ac:dyDescent="0.3">
      <c r="A855"/>
      <c r="B855"/>
      <c r="C855"/>
      <c r="D855"/>
      <c r="E855"/>
      <c r="F855"/>
      <c r="G855"/>
      <c r="H855" s="11"/>
      <c r="I855"/>
      <c r="J855"/>
      <c r="L855"/>
      <c r="M855"/>
      <c r="N855"/>
      <c r="O855" s="59"/>
    </row>
    <row r="856" spans="1:15" x14ac:dyDescent="0.3">
      <c r="A856"/>
      <c r="B856"/>
      <c r="C856"/>
      <c r="D856"/>
      <c r="E856"/>
      <c r="F856"/>
      <c r="G856"/>
      <c r="H856" s="11"/>
      <c r="I856"/>
      <c r="J856"/>
      <c r="L856"/>
      <c r="M856"/>
      <c r="N856"/>
      <c r="O856" s="59"/>
    </row>
    <row r="857" spans="1:15" x14ac:dyDescent="0.3">
      <c r="A857"/>
      <c r="B857"/>
      <c r="C857"/>
      <c r="D857"/>
      <c r="E857"/>
      <c r="F857"/>
      <c r="G857"/>
      <c r="H857" s="11"/>
      <c r="I857"/>
      <c r="J857"/>
      <c r="L857"/>
      <c r="M857"/>
      <c r="N857"/>
      <c r="O857" s="59"/>
    </row>
    <row r="858" spans="1:15" x14ac:dyDescent="0.3">
      <c r="A858"/>
      <c r="B858"/>
      <c r="C858"/>
      <c r="D858"/>
      <c r="E858"/>
      <c r="F858"/>
      <c r="G858"/>
      <c r="H858" s="11"/>
      <c r="I858"/>
      <c r="J858"/>
      <c r="L858"/>
      <c r="M858"/>
      <c r="N858"/>
      <c r="O858" s="59"/>
    </row>
    <row r="859" spans="1:15" x14ac:dyDescent="0.3">
      <c r="A859"/>
      <c r="B859"/>
      <c r="C859"/>
      <c r="D859"/>
      <c r="E859"/>
      <c r="F859"/>
      <c r="G859"/>
      <c r="H859" s="11"/>
      <c r="I859"/>
      <c r="J859"/>
      <c r="L859"/>
      <c r="M859"/>
      <c r="N859"/>
      <c r="O859" s="59"/>
    </row>
    <row r="860" spans="1:15" x14ac:dyDescent="0.3">
      <c r="A860"/>
      <c r="B860"/>
      <c r="C860"/>
      <c r="D860"/>
      <c r="E860"/>
      <c r="F860"/>
      <c r="G860"/>
      <c r="H860" s="11"/>
      <c r="I860"/>
      <c r="J860"/>
      <c r="L860"/>
      <c r="M860"/>
      <c r="N860"/>
      <c r="O860" s="59"/>
    </row>
    <row r="861" spans="1:15" x14ac:dyDescent="0.3">
      <c r="A861"/>
      <c r="B861"/>
      <c r="C861"/>
      <c r="D861"/>
      <c r="E861"/>
      <c r="F861"/>
      <c r="G861"/>
      <c r="H861" s="11"/>
      <c r="I861"/>
      <c r="J861"/>
      <c r="L861"/>
      <c r="M861"/>
      <c r="N861"/>
      <c r="O861" s="59"/>
    </row>
    <row r="862" spans="1:15" x14ac:dyDescent="0.3">
      <c r="A862"/>
      <c r="B862"/>
      <c r="C862"/>
      <c r="D862"/>
      <c r="E862"/>
      <c r="F862"/>
      <c r="G862"/>
      <c r="H862" s="11"/>
      <c r="I862"/>
      <c r="J862"/>
      <c r="L862"/>
      <c r="M862"/>
      <c r="N862"/>
      <c r="O862" s="59"/>
    </row>
    <row r="863" spans="1:15" x14ac:dyDescent="0.3">
      <c r="A863"/>
      <c r="B863"/>
      <c r="C863"/>
      <c r="D863"/>
      <c r="E863"/>
      <c r="F863"/>
      <c r="G863"/>
      <c r="H863" s="11"/>
      <c r="I863"/>
      <c r="J863"/>
      <c r="L863"/>
      <c r="M863"/>
      <c r="N863"/>
      <c r="O863" s="59"/>
    </row>
    <row r="864" spans="1:15" x14ac:dyDescent="0.3">
      <c r="A864"/>
      <c r="B864"/>
      <c r="C864"/>
      <c r="D864"/>
      <c r="E864"/>
      <c r="F864"/>
      <c r="G864"/>
      <c r="H864" s="11"/>
      <c r="I864"/>
      <c r="J864"/>
      <c r="L864"/>
      <c r="M864"/>
      <c r="N864"/>
      <c r="O864" s="59"/>
    </row>
    <row r="865" spans="1:15" x14ac:dyDescent="0.3">
      <c r="A865"/>
      <c r="B865"/>
      <c r="C865"/>
      <c r="D865"/>
      <c r="E865"/>
      <c r="F865"/>
      <c r="G865"/>
      <c r="H865" s="11"/>
      <c r="I865"/>
      <c r="J865"/>
      <c r="L865"/>
      <c r="M865"/>
      <c r="N865"/>
      <c r="O865" s="59"/>
    </row>
    <row r="866" spans="1:15" x14ac:dyDescent="0.3">
      <c r="A866"/>
      <c r="B866"/>
      <c r="C866"/>
      <c r="D866"/>
      <c r="E866"/>
      <c r="F866"/>
      <c r="G866"/>
      <c r="H866" s="11"/>
      <c r="I866"/>
      <c r="J866"/>
      <c r="L866"/>
      <c r="M866"/>
      <c r="N866"/>
      <c r="O866" s="59"/>
    </row>
    <row r="867" spans="1:15" x14ac:dyDescent="0.3">
      <c r="A867"/>
      <c r="B867"/>
      <c r="C867"/>
      <c r="D867"/>
      <c r="E867"/>
      <c r="F867"/>
      <c r="G867"/>
      <c r="H867" s="11"/>
      <c r="I867"/>
      <c r="J867"/>
      <c r="L867"/>
      <c r="M867"/>
      <c r="N867"/>
      <c r="O867" s="59"/>
    </row>
    <row r="868" spans="1:15" x14ac:dyDescent="0.3">
      <c r="A868"/>
      <c r="B868"/>
      <c r="C868"/>
      <c r="D868"/>
      <c r="E868"/>
      <c r="F868"/>
      <c r="G868"/>
      <c r="H868" s="11"/>
      <c r="I868"/>
      <c r="J868"/>
      <c r="L868"/>
      <c r="M868"/>
      <c r="N868"/>
      <c r="O868" s="59"/>
    </row>
    <row r="869" spans="1:15" x14ac:dyDescent="0.3">
      <c r="A869"/>
      <c r="B869"/>
      <c r="C869"/>
      <c r="D869"/>
      <c r="E869"/>
      <c r="F869"/>
      <c r="G869"/>
      <c r="H869" s="11"/>
      <c r="I869"/>
      <c r="J869"/>
      <c r="L869"/>
      <c r="M869"/>
      <c r="N869"/>
      <c r="O869" s="59"/>
    </row>
    <row r="870" spans="1:15" x14ac:dyDescent="0.3">
      <c r="A870"/>
      <c r="B870"/>
      <c r="C870"/>
      <c r="D870"/>
      <c r="E870"/>
      <c r="F870"/>
      <c r="G870"/>
      <c r="H870" s="11"/>
      <c r="I870"/>
      <c r="J870"/>
      <c r="L870"/>
      <c r="M870"/>
      <c r="N870"/>
      <c r="O870" s="59"/>
    </row>
    <row r="871" spans="1:15" x14ac:dyDescent="0.3">
      <c r="A871"/>
      <c r="B871"/>
      <c r="C871"/>
      <c r="D871"/>
      <c r="E871"/>
      <c r="F871"/>
      <c r="G871"/>
      <c r="H871" s="11"/>
      <c r="I871"/>
      <c r="J871"/>
      <c r="L871"/>
      <c r="M871"/>
      <c r="N871"/>
      <c r="O871" s="59"/>
    </row>
    <row r="872" spans="1:15" x14ac:dyDescent="0.3">
      <c r="A872"/>
      <c r="B872"/>
      <c r="C872"/>
      <c r="D872"/>
      <c r="E872"/>
      <c r="F872"/>
      <c r="G872"/>
      <c r="H872" s="11"/>
      <c r="I872"/>
      <c r="J872"/>
      <c r="L872"/>
      <c r="M872"/>
      <c r="N872"/>
      <c r="O872" s="59"/>
    </row>
    <row r="873" spans="1:15" x14ac:dyDescent="0.3">
      <c r="A873"/>
      <c r="B873"/>
      <c r="C873"/>
      <c r="D873"/>
      <c r="E873"/>
      <c r="F873"/>
      <c r="G873"/>
      <c r="H873" s="11"/>
      <c r="I873"/>
      <c r="J873"/>
      <c r="L873"/>
      <c r="M873"/>
      <c r="N873"/>
      <c r="O873" s="59"/>
    </row>
    <row r="874" spans="1:15" x14ac:dyDescent="0.3">
      <c r="A874"/>
      <c r="B874"/>
      <c r="C874"/>
      <c r="D874"/>
      <c r="E874"/>
      <c r="F874"/>
      <c r="G874"/>
      <c r="H874" s="11"/>
      <c r="I874"/>
      <c r="J874"/>
      <c r="L874"/>
      <c r="M874"/>
      <c r="N874"/>
      <c r="O874" s="59"/>
    </row>
    <row r="875" spans="1:15" x14ac:dyDescent="0.3">
      <c r="A875"/>
      <c r="B875"/>
      <c r="C875"/>
      <c r="D875"/>
      <c r="E875"/>
      <c r="F875"/>
      <c r="G875"/>
      <c r="H875" s="11"/>
      <c r="I875"/>
      <c r="J875"/>
      <c r="L875"/>
      <c r="M875"/>
      <c r="N875"/>
      <c r="O875" s="59"/>
    </row>
    <row r="876" spans="1:15" x14ac:dyDescent="0.3">
      <c r="A876"/>
      <c r="B876"/>
      <c r="C876"/>
      <c r="D876"/>
      <c r="E876"/>
      <c r="F876"/>
      <c r="G876"/>
      <c r="H876" s="11"/>
      <c r="I876"/>
      <c r="J876"/>
      <c r="L876"/>
      <c r="M876"/>
      <c r="N876"/>
      <c r="O876" s="59"/>
    </row>
    <row r="877" spans="1:15" x14ac:dyDescent="0.3">
      <c r="A877"/>
      <c r="B877"/>
      <c r="C877"/>
      <c r="D877"/>
      <c r="E877"/>
      <c r="F877"/>
      <c r="G877"/>
      <c r="H877" s="11"/>
      <c r="I877"/>
      <c r="J877"/>
      <c r="L877"/>
      <c r="M877"/>
      <c r="N877"/>
      <c r="O877" s="59"/>
    </row>
    <row r="878" spans="1:15" x14ac:dyDescent="0.3">
      <c r="A878"/>
      <c r="B878"/>
      <c r="C878"/>
      <c r="D878"/>
      <c r="E878"/>
      <c r="F878"/>
      <c r="G878"/>
      <c r="H878" s="11"/>
      <c r="I878"/>
      <c r="J878"/>
      <c r="L878"/>
      <c r="M878"/>
      <c r="N878"/>
      <c r="O878" s="59"/>
    </row>
    <row r="879" spans="1:15" x14ac:dyDescent="0.3">
      <c r="A879"/>
      <c r="B879"/>
      <c r="C879"/>
      <c r="D879"/>
      <c r="E879"/>
      <c r="F879"/>
      <c r="G879"/>
      <c r="H879" s="11"/>
      <c r="I879"/>
      <c r="J879"/>
      <c r="L879"/>
      <c r="M879"/>
      <c r="N879"/>
      <c r="O879" s="59"/>
    </row>
    <row r="880" spans="1:15" x14ac:dyDescent="0.3">
      <c r="A880"/>
      <c r="B880"/>
      <c r="C880"/>
      <c r="D880"/>
      <c r="E880"/>
      <c r="F880"/>
      <c r="G880"/>
      <c r="H880" s="11"/>
      <c r="I880"/>
      <c r="J880"/>
      <c r="L880"/>
      <c r="M880"/>
      <c r="N880"/>
      <c r="O880" s="59"/>
    </row>
    <row r="881" spans="1:15" x14ac:dyDescent="0.3">
      <c r="A881"/>
      <c r="B881"/>
      <c r="C881"/>
      <c r="D881"/>
      <c r="E881"/>
      <c r="F881"/>
      <c r="G881"/>
      <c r="H881" s="11"/>
      <c r="I881"/>
      <c r="J881"/>
      <c r="L881"/>
      <c r="M881"/>
      <c r="N881"/>
      <c r="O881" s="59"/>
    </row>
    <row r="882" spans="1:15" x14ac:dyDescent="0.3">
      <c r="A882"/>
      <c r="B882"/>
      <c r="C882"/>
      <c r="D882"/>
      <c r="E882"/>
      <c r="F882"/>
      <c r="G882"/>
      <c r="H882" s="11"/>
      <c r="I882"/>
      <c r="J882"/>
      <c r="L882"/>
      <c r="M882"/>
      <c r="N882"/>
      <c r="O882" s="59"/>
    </row>
    <row r="883" spans="1:15" x14ac:dyDescent="0.3">
      <c r="A883"/>
      <c r="B883"/>
      <c r="C883"/>
      <c r="D883"/>
      <c r="E883"/>
      <c r="F883"/>
      <c r="G883"/>
      <c r="H883" s="11"/>
      <c r="I883"/>
      <c r="J883"/>
      <c r="L883"/>
      <c r="M883"/>
      <c r="N883"/>
      <c r="O883" s="59"/>
    </row>
    <row r="884" spans="1:15" x14ac:dyDescent="0.3">
      <c r="A884"/>
      <c r="B884"/>
      <c r="C884"/>
      <c r="D884"/>
      <c r="E884"/>
      <c r="F884"/>
      <c r="G884"/>
      <c r="H884" s="11"/>
      <c r="I884"/>
      <c r="J884"/>
      <c r="L884"/>
      <c r="M884"/>
      <c r="N884"/>
      <c r="O884" s="59"/>
    </row>
    <row r="885" spans="1:15" x14ac:dyDescent="0.3">
      <c r="A885"/>
      <c r="B885"/>
      <c r="C885"/>
      <c r="D885"/>
      <c r="E885"/>
      <c r="F885"/>
      <c r="G885"/>
      <c r="H885" s="11"/>
      <c r="I885"/>
      <c r="J885"/>
      <c r="L885"/>
      <c r="M885"/>
      <c r="N885"/>
      <c r="O885" s="59"/>
    </row>
    <row r="886" spans="1:15" x14ac:dyDescent="0.3">
      <c r="A886"/>
      <c r="B886"/>
      <c r="C886"/>
      <c r="D886"/>
      <c r="E886"/>
      <c r="F886"/>
      <c r="G886"/>
      <c r="H886" s="11"/>
      <c r="I886"/>
      <c r="J886"/>
      <c r="L886"/>
      <c r="M886"/>
      <c r="N886"/>
      <c r="O886" s="59"/>
    </row>
    <row r="887" spans="1:15" x14ac:dyDescent="0.3">
      <c r="A887"/>
      <c r="B887"/>
      <c r="C887"/>
      <c r="D887"/>
      <c r="E887"/>
      <c r="F887"/>
      <c r="G887"/>
      <c r="H887" s="11"/>
      <c r="I887"/>
      <c r="J887"/>
      <c r="L887"/>
      <c r="M887"/>
      <c r="N887"/>
      <c r="O887" s="59"/>
    </row>
    <row r="888" spans="1:15" x14ac:dyDescent="0.3">
      <c r="A888"/>
      <c r="B888"/>
      <c r="C888"/>
      <c r="D888"/>
      <c r="E888"/>
      <c r="F888"/>
      <c r="G888"/>
      <c r="H888" s="11"/>
      <c r="I888"/>
      <c r="J888"/>
      <c r="L888"/>
      <c r="M888"/>
      <c r="N888"/>
      <c r="O888" s="59"/>
    </row>
    <row r="889" spans="1:15" x14ac:dyDescent="0.3">
      <c r="A889"/>
      <c r="B889"/>
      <c r="C889"/>
      <c r="D889"/>
      <c r="E889"/>
      <c r="F889"/>
      <c r="G889"/>
      <c r="H889" s="11"/>
      <c r="I889"/>
      <c r="J889"/>
      <c r="L889"/>
      <c r="M889"/>
      <c r="N889"/>
      <c r="O889" s="59"/>
    </row>
    <row r="890" spans="1:15" x14ac:dyDescent="0.3">
      <c r="A890"/>
      <c r="B890"/>
      <c r="C890"/>
      <c r="D890"/>
      <c r="E890"/>
      <c r="F890"/>
      <c r="G890"/>
      <c r="H890" s="11"/>
      <c r="I890"/>
      <c r="J890"/>
      <c r="L890"/>
      <c r="M890"/>
      <c r="N890"/>
      <c r="O890" s="59"/>
    </row>
    <row r="891" spans="1:15" x14ac:dyDescent="0.3">
      <c r="A891"/>
      <c r="B891"/>
      <c r="C891"/>
      <c r="D891"/>
      <c r="E891"/>
      <c r="F891"/>
      <c r="G891"/>
      <c r="H891" s="11"/>
      <c r="I891"/>
      <c r="J891"/>
      <c r="L891"/>
      <c r="M891"/>
      <c r="N891"/>
      <c r="O891" s="59"/>
    </row>
    <row r="892" spans="1:15" x14ac:dyDescent="0.3">
      <c r="A892"/>
      <c r="B892"/>
      <c r="C892"/>
      <c r="D892"/>
      <c r="E892"/>
      <c r="F892"/>
      <c r="G892"/>
      <c r="H892" s="11"/>
      <c r="I892"/>
      <c r="J892"/>
      <c r="L892"/>
      <c r="M892"/>
      <c r="N892"/>
      <c r="O892" s="59"/>
    </row>
    <row r="893" spans="1:15" x14ac:dyDescent="0.3">
      <c r="A893"/>
      <c r="B893"/>
      <c r="C893"/>
      <c r="D893"/>
      <c r="E893"/>
      <c r="F893"/>
      <c r="G893"/>
      <c r="H893" s="11"/>
      <c r="I893"/>
      <c r="J893"/>
      <c r="L893"/>
      <c r="M893"/>
      <c r="N893"/>
      <c r="O893" s="59"/>
    </row>
    <row r="894" spans="1:15" x14ac:dyDescent="0.3">
      <c r="A894"/>
      <c r="B894"/>
      <c r="C894"/>
      <c r="D894"/>
      <c r="E894"/>
      <c r="F894"/>
      <c r="G894"/>
      <c r="H894" s="11"/>
      <c r="I894"/>
      <c r="J894"/>
      <c r="L894"/>
      <c r="M894"/>
      <c r="N894"/>
      <c r="O894" s="59"/>
    </row>
    <row r="895" spans="1:15" x14ac:dyDescent="0.3">
      <c r="A895"/>
      <c r="B895"/>
      <c r="C895"/>
      <c r="D895"/>
      <c r="E895"/>
      <c r="F895"/>
      <c r="G895"/>
      <c r="H895" s="11"/>
      <c r="I895"/>
      <c r="J895"/>
      <c r="L895"/>
      <c r="M895"/>
      <c r="N895"/>
      <c r="O895" s="59"/>
    </row>
    <row r="896" spans="1:15" x14ac:dyDescent="0.3">
      <c r="A896"/>
      <c r="B896"/>
      <c r="C896"/>
      <c r="D896"/>
      <c r="E896"/>
      <c r="F896"/>
      <c r="G896"/>
      <c r="H896" s="11"/>
      <c r="I896"/>
      <c r="J896"/>
      <c r="L896"/>
      <c r="M896"/>
      <c r="N896"/>
      <c r="O896" s="59"/>
    </row>
    <row r="897" spans="1:15" x14ac:dyDescent="0.3">
      <c r="A897"/>
      <c r="B897"/>
      <c r="C897"/>
      <c r="D897"/>
      <c r="E897"/>
      <c r="F897"/>
      <c r="G897"/>
      <c r="H897" s="11"/>
      <c r="I897"/>
      <c r="J897"/>
      <c r="L897"/>
      <c r="M897"/>
      <c r="N897"/>
      <c r="O897" s="59"/>
    </row>
    <row r="898" spans="1:15" x14ac:dyDescent="0.3">
      <c r="A898"/>
      <c r="B898"/>
      <c r="C898"/>
      <c r="D898"/>
      <c r="E898"/>
      <c r="F898"/>
      <c r="G898"/>
      <c r="H898" s="11"/>
      <c r="I898"/>
      <c r="J898"/>
      <c r="L898"/>
      <c r="M898"/>
      <c r="N898"/>
      <c r="O898" s="59"/>
    </row>
    <row r="899" spans="1:15" x14ac:dyDescent="0.3">
      <c r="A899"/>
      <c r="B899"/>
      <c r="C899"/>
      <c r="D899"/>
      <c r="E899"/>
      <c r="F899"/>
      <c r="G899"/>
      <c r="H899" s="11"/>
      <c r="I899"/>
      <c r="J899"/>
      <c r="L899"/>
      <c r="M899"/>
      <c r="N899"/>
      <c r="O899" s="59"/>
    </row>
    <row r="900" spans="1:15" x14ac:dyDescent="0.3">
      <c r="A900"/>
      <c r="B900"/>
      <c r="C900"/>
      <c r="D900"/>
      <c r="E900"/>
      <c r="F900"/>
      <c r="G900"/>
      <c r="H900" s="11"/>
      <c r="I900"/>
      <c r="J900"/>
      <c r="L900"/>
      <c r="M900"/>
      <c r="N900"/>
      <c r="O900" s="59"/>
    </row>
    <row r="901" spans="1:15" x14ac:dyDescent="0.3">
      <c r="A901"/>
      <c r="B901"/>
      <c r="C901"/>
      <c r="D901"/>
      <c r="E901"/>
      <c r="F901"/>
      <c r="G901"/>
      <c r="H901" s="11"/>
      <c r="I901"/>
      <c r="J901"/>
      <c r="L901"/>
      <c r="M901"/>
      <c r="N901"/>
      <c r="O901" s="59"/>
    </row>
    <row r="902" spans="1:15" x14ac:dyDescent="0.3">
      <c r="A902"/>
      <c r="B902"/>
      <c r="C902"/>
      <c r="D902"/>
      <c r="E902"/>
      <c r="F902"/>
      <c r="G902"/>
      <c r="H902" s="11"/>
      <c r="I902"/>
      <c r="J902"/>
      <c r="L902"/>
      <c r="M902"/>
      <c r="N902"/>
      <c r="O902" s="59"/>
    </row>
    <row r="903" spans="1:15" x14ac:dyDescent="0.3">
      <c r="A903"/>
      <c r="B903"/>
      <c r="C903"/>
      <c r="D903"/>
      <c r="E903"/>
      <c r="F903"/>
      <c r="G903"/>
      <c r="H903" s="11"/>
      <c r="I903"/>
      <c r="J903"/>
      <c r="L903"/>
      <c r="M903"/>
      <c r="N903"/>
      <c r="O903" s="59"/>
    </row>
    <row r="904" spans="1:15" x14ac:dyDescent="0.3">
      <c r="A904"/>
      <c r="B904"/>
      <c r="C904"/>
      <c r="D904"/>
      <c r="E904"/>
      <c r="F904"/>
      <c r="G904"/>
      <c r="H904" s="11"/>
      <c r="I904"/>
      <c r="J904"/>
      <c r="L904"/>
      <c r="M904"/>
      <c r="N904"/>
      <c r="O904" s="59"/>
    </row>
    <row r="905" spans="1:15" x14ac:dyDescent="0.3">
      <c r="A905"/>
      <c r="B905"/>
      <c r="C905"/>
      <c r="D905"/>
      <c r="E905"/>
      <c r="F905"/>
      <c r="G905"/>
      <c r="H905" s="11"/>
      <c r="I905"/>
      <c r="J905"/>
      <c r="L905"/>
      <c r="M905"/>
      <c r="N905"/>
      <c r="O905" s="59"/>
    </row>
    <row r="906" spans="1:15" x14ac:dyDescent="0.3">
      <c r="A906"/>
      <c r="B906"/>
      <c r="C906"/>
      <c r="D906"/>
      <c r="E906"/>
      <c r="F906"/>
      <c r="G906"/>
      <c r="H906" s="11"/>
      <c r="I906"/>
      <c r="J906"/>
      <c r="L906"/>
      <c r="M906"/>
      <c r="N906"/>
      <c r="O906" s="59"/>
    </row>
    <row r="907" spans="1:15" x14ac:dyDescent="0.3">
      <c r="A907"/>
      <c r="B907"/>
      <c r="C907"/>
      <c r="D907"/>
      <c r="E907"/>
      <c r="F907"/>
      <c r="G907"/>
      <c r="H907" s="11"/>
      <c r="I907"/>
      <c r="J907"/>
      <c r="L907"/>
      <c r="M907"/>
      <c r="N907"/>
      <c r="O907" s="59"/>
    </row>
    <row r="908" spans="1:15" x14ac:dyDescent="0.3">
      <c r="A908"/>
      <c r="B908"/>
      <c r="C908"/>
      <c r="D908"/>
      <c r="E908"/>
      <c r="F908"/>
      <c r="G908"/>
      <c r="H908" s="11"/>
      <c r="I908"/>
      <c r="J908"/>
      <c r="L908"/>
      <c r="M908"/>
      <c r="N908"/>
      <c r="O908" s="59"/>
    </row>
    <row r="909" spans="1:15" x14ac:dyDescent="0.3">
      <c r="A909"/>
      <c r="B909"/>
      <c r="C909"/>
      <c r="D909"/>
      <c r="E909"/>
      <c r="F909"/>
      <c r="G909"/>
      <c r="H909" s="11"/>
      <c r="I909"/>
      <c r="J909"/>
      <c r="L909"/>
      <c r="M909"/>
      <c r="N909"/>
      <c r="O909" s="59"/>
    </row>
    <row r="910" spans="1:15" x14ac:dyDescent="0.3">
      <c r="A910"/>
      <c r="B910"/>
      <c r="C910"/>
      <c r="D910"/>
      <c r="E910"/>
      <c r="F910"/>
      <c r="G910"/>
      <c r="H910" s="11"/>
      <c r="I910"/>
      <c r="J910"/>
      <c r="L910"/>
      <c r="M910"/>
      <c r="N910"/>
      <c r="O910" s="59"/>
    </row>
    <row r="911" spans="1:15" x14ac:dyDescent="0.3">
      <c r="A911"/>
      <c r="B911"/>
      <c r="C911"/>
      <c r="D911"/>
      <c r="E911"/>
      <c r="F911"/>
      <c r="G911"/>
      <c r="H911" s="11"/>
      <c r="I911"/>
      <c r="J911"/>
      <c r="L911"/>
      <c r="M911"/>
      <c r="N911"/>
      <c r="O911" s="59"/>
    </row>
    <row r="912" spans="1:15" x14ac:dyDescent="0.3">
      <c r="A912"/>
      <c r="B912"/>
      <c r="C912"/>
      <c r="D912"/>
      <c r="E912"/>
      <c r="F912"/>
      <c r="G912"/>
      <c r="H912" s="11"/>
      <c r="I912"/>
      <c r="J912"/>
      <c r="L912"/>
      <c r="M912"/>
      <c r="N912"/>
      <c r="O912" s="59"/>
    </row>
    <row r="913" spans="1:15" x14ac:dyDescent="0.3">
      <c r="A913"/>
      <c r="B913"/>
      <c r="C913"/>
      <c r="D913"/>
      <c r="E913"/>
      <c r="F913"/>
      <c r="G913"/>
      <c r="H913" s="11"/>
      <c r="I913"/>
      <c r="J913"/>
      <c r="L913"/>
      <c r="M913"/>
      <c r="N913"/>
      <c r="O913" s="59"/>
    </row>
    <row r="914" spans="1:15" x14ac:dyDescent="0.3">
      <c r="A914"/>
      <c r="B914"/>
      <c r="C914"/>
      <c r="D914"/>
      <c r="E914"/>
      <c r="F914"/>
      <c r="G914"/>
      <c r="H914" s="11"/>
      <c r="I914"/>
      <c r="J914"/>
      <c r="L914"/>
      <c r="M914"/>
      <c r="N914"/>
      <c r="O914" s="59"/>
    </row>
    <row r="915" spans="1:15" x14ac:dyDescent="0.3">
      <c r="A915"/>
      <c r="B915"/>
      <c r="C915"/>
      <c r="D915"/>
      <c r="E915"/>
      <c r="F915"/>
      <c r="G915"/>
      <c r="H915" s="11"/>
      <c r="I915"/>
      <c r="J915"/>
      <c r="L915"/>
      <c r="M915"/>
      <c r="N915"/>
      <c r="O915" s="59"/>
    </row>
    <row r="916" spans="1:15" x14ac:dyDescent="0.3">
      <c r="A916"/>
      <c r="B916"/>
      <c r="C916"/>
      <c r="D916"/>
      <c r="E916"/>
      <c r="F916"/>
      <c r="G916"/>
      <c r="H916" s="11"/>
      <c r="I916"/>
      <c r="J916"/>
      <c r="L916"/>
      <c r="M916"/>
      <c r="N916"/>
      <c r="O916" s="59"/>
    </row>
    <row r="917" spans="1:15" x14ac:dyDescent="0.3">
      <c r="A917"/>
      <c r="B917"/>
      <c r="C917"/>
      <c r="D917"/>
      <c r="E917"/>
      <c r="F917"/>
      <c r="G917"/>
      <c r="H917" s="11"/>
      <c r="I917"/>
      <c r="J917"/>
      <c r="L917"/>
      <c r="M917"/>
      <c r="N917"/>
      <c r="O917" s="59"/>
    </row>
    <row r="918" spans="1:15" x14ac:dyDescent="0.3">
      <c r="A918"/>
      <c r="B918"/>
      <c r="C918"/>
      <c r="D918"/>
      <c r="E918"/>
      <c r="F918"/>
      <c r="G918"/>
      <c r="H918" s="11"/>
      <c r="I918"/>
      <c r="J918"/>
      <c r="L918"/>
      <c r="M918"/>
      <c r="N918"/>
      <c r="O918" s="59"/>
    </row>
    <row r="919" spans="1:15" x14ac:dyDescent="0.3">
      <c r="A919"/>
      <c r="B919"/>
      <c r="C919"/>
      <c r="D919"/>
      <c r="E919"/>
      <c r="F919"/>
      <c r="G919"/>
      <c r="H919" s="11"/>
      <c r="I919"/>
      <c r="J919"/>
      <c r="L919"/>
      <c r="M919"/>
      <c r="N919"/>
      <c r="O919" s="59"/>
    </row>
    <row r="920" spans="1:15" x14ac:dyDescent="0.3">
      <c r="A920"/>
      <c r="B920"/>
      <c r="C920"/>
      <c r="D920"/>
      <c r="E920"/>
      <c r="F920"/>
      <c r="G920"/>
      <c r="H920" s="11"/>
      <c r="I920"/>
      <c r="J920"/>
      <c r="L920"/>
      <c r="M920"/>
      <c r="N920"/>
      <c r="O920" s="59"/>
    </row>
    <row r="921" spans="1:15" x14ac:dyDescent="0.3">
      <c r="A921"/>
      <c r="B921"/>
      <c r="C921"/>
      <c r="D921"/>
      <c r="E921"/>
      <c r="F921"/>
      <c r="G921"/>
      <c r="H921" s="11"/>
      <c r="I921"/>
      <c r="J921"/>
      <c r="L921"/>
      <c r="M921"/>
      <c r="N921"/>
      <c r="O921" s="59"/>
    </row>
    <row r="922" spans="1:15" x14ac:dyDescent="0.3">
      <c r="A922"/>
      <c r="B922"/>
      <c r="C922"/>
      <c r="D922"/>
      <c r="E922"/>
      <c r="F922"/>
      <c r="G922"/>
      <c r="H922" s="11"/>
      <c r="I922"/>
      <c r="J922"/>
      <c r="L922"/>
      <c r="M922"/>
      <c r="N922"/>
      <c r="O922" s="59"/>
    </row>
    <row r="923" spans="1:15" x14ac:dyDescent="0.3">
      <c r="A923"/>
      <c r="B923"/>
      <c r="C923"/>
      <c r="D923"/>
      <c r="E923"/>
      <c r="F923"/>
      <c r="G923"/>
      <c r="H923" s="11"/>
      <c r="I923"/>
      <c r="J923"/>
      <c r="L923"/>
      <c r="M923"/>
      <c r="N923"/>
      <c r="O923" s="59"/>
    </row>
    <row r="924" spans="1:15" x14ac:dyDescent="0.3">
      <c r="A924"/>
      <c r="B924"/>
      <c r="C924"/>
      <c r="D924"/>
      <c r="E924"/>
      <c r="F924"/>
      <c r="G924"/>
      <c r="H924" s="11"/>
      <c r="I924"/>
      <c r="J924"/>
      <c r="L924"/>
      <c r="M924"/>
      <c r="N924"/>
      <c r="O924" s="59"/>
    </row>
    <row r="925" spans="1:15" x14ac:dyDescent="0.3">
      <c r="A925"/>
      <c r="B925"/>
      <c r="C925"/>
      <c r="D925"/>
      <c r="E925"/>
      <c r="F925"/>
      <c r="G925"/>
      <c r="H925" s="11"/>
      <c r="I925"/>
      <c r="J925"/>
      <c r="L925"/>
      <c r="M925"/>
      <c r="N925"/>
      <c r="O925" s="59"/>
    </row>
    <row r="926" spans="1:15" x14ac:dyDescent="0.3">
      <c r="A926"/>
      <c r="B926"/>
      <c r="C926"/>
      <c r="D926"/>
      <c r="E926"/>
      <c r="F926"/>
      <c r="G926"/>
      <c r="H926" s="11"/>
      <c r="I926"/>
      <c r="J926"/>
      <c r="L926"/>
      <c r="M926"/>
      <c r="N926"/>
      <c r="O926" s="59"/>
    </row>
    <row r="927" spans="1:15" x14ac:dyDescent="0.3">
      <c r="A927"/>
      <c r="B927"/>
      <c r="C927"/>
      <c r="D927"/>
      <c r="E927"/>
      <c r="F927"/>
      <c r="G927"/>
      <c r="H927" s="11"/>
      <c r="I927"/>
      <c r="J927"/>
      <c r="L927"/>
      <c r="M927"/>
      <c r="N927"/>
      <c r="O927" s="59"/>
    </row>
    <row r="928" spans="1:15" x14ac:dyDescent="0.3">
      <c r="A928"/>
      <c r="B928"/>
      <c r="C928"/>
      <c r="D928"/>
      <c r="E928"/>
      <c r="F928"/>
      <c r="G928"/>
      <c r="H928" s="11"/>
      <c r="I928"/>
      <c r="J928"/>
      <c r="L928"/>
      <c r="M928"/>
      <c r="N928"/>
      <c r="O928" s="59"/>
    </row>
    <row r="929" spans="1:15" x14ac:dyDescent="0.3">
      <c r="A929"/>
      <c r="B929"/>
      <c r="C929"/>
      <c r="D929"/>
      <c r="E929"/>
      <c r="F929"/>
      <c r="G929"/>
      <c r="H929" s="11"/>
      <c r="I929"/>
      <c r="J929"/>
      <c r="L929"/>
      <c r="M929"/>
      <c r="N929"/>
      <c r="O929" s="59"/>
    </row>
    <row r="930" spans="1:15" x14ac:dyDescent="0.3">
      <c r="A930"/>
      <c r="B930"/>
      <c r="C930"/>
      <c r="D930"/>
      <c r="E930"/>
      <c r="F930"/>
      <c r="G930"/>
      <c r="H930" s="11"/>
      <c r="I930"/>
      <c r="J930"/>
      <c r="L930"/>
      <c r="M930"/>
      <c r="N930"/>
      <c r="O930" s="59"/>
    </row>
    <row r="931" spans="1:15" x14ac:dyDescent="0.3">
      <c r="A931"/>
      <c r="B931"/>
      <c r="C931"/>
      <c r="D931"/>
      <c r="E931"/>
      <c r="F931"/>
      <c r="G931"/>
      <c r="H931" s="11"/>
      <c r="I931"/>
      <c r="J931"/>
      <c r="L931"/>
      <c r="M931"/>
      <c r="N931"/>
      <c r="O931" s="59"/>
    </row>
    <row r="932" spans="1:15" x14ac:dyDescent="0.3">
      <c r="A932"/>
      <c r="B932"/>
      <c r="C932"/>
      <c r="D932"/>
      <c r="E932"/>
      <c r="F932"/>
      <c r="G932"/>
      <c r="H932" s="11"/>
      <c r="I932"/>
      <c r="J932"/>
      <c r="L932"/>
      <c r="M932"/>
      <c r="N932"/>
      <c r="O932" s="59"/>
    </row>
    <row r="933" spans="1:15" x14ac:dyDescent="0.3">
      <c r="A933"/>
      <c r="B933"/>
      <c r="C933"/>
      <c r="D933"/>
      <c r="E933"/>
      <c r="F933"/>
      <c r="G933"/>
      <c r="H933" s="11"/>
      <c r="I933"/>
      <c r="J933"/>
      <c r="L933"/>
      <c r="M933"/>
      <c r="N933"/>
      <c r="O933" s="59"/>
    </row>
    <row r="934" spans="1:15" x14ac:dyDescent="0.3">
      <c r="A934"/>
      <c r="B934"/>
      <c r="C934"/>
      <c r="D934"/>
      <c r="E934"/>
      <c r="F934"/>
      <c r="G934"/>
      <c r="H934" s="11"/>
      <c r="I934"/>
      <c r="J934"/>
      <c r="L934"/>
      <c r="M934"/>
      <c r="N934"/>
      <c r="O934" s="59"/>
    </row>
    <row r="935" spans="1:15" x14ac:dyDescent="0.3">
      <c r="A935"/>
      <c r="B935"/>
      <c r="C935"/>
      <c r="D935"/>
      <c r="E935"/>
      <c r="F935"/>
      <c r="G935"/>
      <c r="H935" s="11"/>
      <c r="I935"/>
      <c r="J935"/>
      <c r="L935"/>
      <c r="M935"/>
      <c r="N935"/>
      <c r="O935" s="59"/>
    </row>
    <row r="936" spans="1:15" x14ac:dyDescent="0.3">
      <c r="A936"/>
      <c r="B936"/>
      <c r="C936"/>
      <c r="D936"/>
      <c r="E936"/>
      <c r="F936"/>
      <c r="G936"/>
      <c r="H936" s="11"/>
      <c r="I936"/>
      <c r="J936"/>
      <c r="L936"/>
      <c r="M936"/>
      <c r="N936"/>
      <c r="O936" s="59"/>
    </row>
    <row r="937" spans="1:15" x14ac:dyDescent="0.3">
      <c r="A937"/>
      <c r="B937"/>
      <c r="C937"/>
      <c r="D937"/>
      <c r="E937"/>
      <c r="F937"/>
      <c r="G937"/>
      <c r="H937" s="11"/>
      <c r="I937"/>
      <c r="J937"/>
      <c r="L937"/>
      <c r="M937"/>
      <c r="N937"/>
      <c r="O937" s="59"/>
    </row>
    <row r="938" spans="1:15" x14ac:dyDescent="0.3">
      <c r="A938"/>
      <c r="B938"/>
      <c r="C938"/>
      <c r="D938"/>
      <c r="E938"/>
      <c r="F938"/>
      <c r="G938"/>
      <c r="H938" s="11"/>
      <c r="I938"/>
      <c r="J938"/>
      <c r="L938"/>
      <c r="M938"/>
      <c r="N938"/>
      <c r="O938" s="59"/>
    </row>
    <row r="939" spans="1:15" x14ac:dyDescent="0.3">
      <c r="A939"/>
      <c r="B939"/>
      <c r="C939"/>
      <c r="D939"/>
      <c r="E939"/>
      <c r="F939"/>
      <c r="G939"/>
      <c r="H939" s="11"/>
      <c r="I939"/>
      <c r="J939"/>
      <c r="L939"/>
      <c r="M939"/>
      <c r="N939"/>
      <c r="O939" s="59"/>
    </row>
    <row r="940" spans="1:15" x14ac:dyDescent="0.3">
      <c r="A940"/>
      <c r="B940"/>
      <c r="C940"/>
      <c r="D940"/>
      <c r="E940"/>
      <c r="F940"/>
      <c r="G940"/>
      <c r="H940" s="11"/>
      <c r="I940"/>
      <c r="J940"/>
      <c r="L940"/>
      <c r="M940"/>
      <c r="N940"/>
      <c r="O940" s="59"/>
    </row>
    <row r="941" spans="1:15" x14ac:dyDescent="0.3">
      <c r="A941"/>
      <c r="B941"/>
      <c r="C941"/>
      <c r="D941"/>
      <c r="E941"/>
      <c r="F941"/>
      <c r="G941"/>
      <c r="H941" s="11"/>
      <c r="I941"/>
      <c r="J941"/>
      <c r="L941"/>
      <c r="M941"/>
      <c r="N941"/>
      <c r="O941" s="59"/>
    </row>
    <row r="942" spans="1:15" x14ac:dyDescent="0.3">
      <c r="A942"/>
      <c r="B942"/>
      <c r="C942"/>
      <c r="D942"/>
      <c r="E942"/>
      <c r="F942"/>
      <c r="G942"/>
      <c r="H942" s="11"/>
      <c r="I942"/>
      <c r="J942"/>
      <c r="L942"/>
      <c r="M942"/>
      <c r="N942"/>
      <c r="O942" s="59"/>
    </row>
    <row r="943" spans="1:15" x14ac:dyDescent="0.3">
      <c r="A943"/>
      <c r="B943"/>
      <c r="C943"/>
      <c r="D943"/>
      <c r="E943"/>
      <c r="F943"/>
      <c r="G943"/>
      <c r="H943" s="11"/>
      <c r="I943"/>
      <c r="J943"/>
      <c r="L943"/>
      <c r="M943"/>
      <c r="N943"/>
      <c r="O943" s="59"/>
    </row>
    <row r="944" spans="1:15" x14ac:dyDescent="0.3">
      <c r="A944"/>
      <c r="B944"/>
      <c r="C944"/>
      <c r="D944"/>
      <c r="E944"/>
      <c r="F944"/>
      <c r="G944"/>
      <c r="H944" s="11"/>
      <c r="I944"/>
      <c r="J944"/>
      <c r="L944"/>
      <c r="M944"/>
      <c r="N944"/>
      <c r="O944" s="59"/>
    </row>
    <row r="945" spans="1:15" x14ac:dyDescent="0.3">
      <c r="A945"/>
      <c r="B945"/>
      <c r="C945"/>
      <c r="D945"/>
      <c r="E945"/>
      <c r="F945"/>
      <c r="G945"/>
      <c r="H945" s="11"/>
      <c r="I945"/>
      <c r="J945"/>
      <c r="L945"/>
      <c r="M945"/>
      <c r="N945"/>
      <c r="O945" s="59"/>
    </row>
    <row r="946" spans="1:15" x14ac:dyDescent="0.3">
      <c r="A946"/>
      <c r="B946"/>
      <c r="C946"/>
      <c r="D946"/>
      <c r="E946"/>
      <c r="F946"/>
      <c r="G946"/>
      <c r="H946" s="11"/>
      <c r="I946"/>
      <c r="J946"/>
      <c r="L946"/>
      <c r="M946"/>
      <c r="N946"/>
      <c r="O946" s="59"/>
    </row>
    <row r="947" spans="1:15" x14ac:dyDescent="0.3">
      <c r="A947"/>
      <c r="B947"/>
      <c r="C947"/>
      <c r="D947"/>
      <c r="E947"/>
      <c r="F947"/>
      <c r="G947"/>
      <c r="H947" s="11"/>
      <c r="I947"/>
      <c r="J947"/>
      <c r="L947"/>
      <c r="M947"/>
      <c r="N947"/>
      <c r="O947" s="59"/>
    </row>
    <row r="948" spans="1:15" x14ac:dyDescent="0.3">
      <c r="A948"/>
      <c r="B948"/>
      <c r="C948"/>
      <c r="D948"/>
      <c r="E948"/>
      <c r="F948"/>
      <c r="G948"/>
      <c r="H948" s="11"/>
      <c r="I948"/>
      <c r="J948"/>
      <c r="L948"/>
      <c r="M948"/>
      <c r="N948"/>
      <c r="O948" s="59"/>
    </row>
    <row r="949" spans="1:15" x14ac:dyDescent="0.3">
      <c r="A949"/>
      <c r="B949"/>
      <c r="C949"/>
      <c r="D949"/>
      <c r="E949"/>
      <c r="F949"/>
      <c r="G949"/>
      <c r="H949" s="11"/>
      <c r="I949"/>
      <c r="J949"/>
      <c r="L949"/>
      <c r="M949"/>
      <c r="N949"/>
      <c r="O949" s="59"/>
    </row>
    <row r="950" spans="1:15" x14ac:dyDescent="0.3">
      <c r="A950"/>
      <c r="B950"/>
      <c r="C950"/>
      <c r="D950"/>
      <c r="E950"/>
      <c r="F950"/>
      <c r="G950"/>
      <c r="H950" s="11"/>
      <c r="I950"/>
      <c r="J950"/>
      <c r="L950"/>
      <c r="M950"/>
      <c r="N950"/>
      <c r="O950" s="59"/>
    </row>
    <row r="951" spans="1:15" x14ac:dyDescent="0.3">
      <c r="A951"/>
      <c r="B951"/>
      <c r="C951"/>
      <c r="D951"/>
      <c r="E951"/>
      <c r="F951"/>
      <c r="G951"/>
      <c r="H951" s="11"/>
      <c r="I951"/>
      <c r="J951"/>
      <c r="L951"/>
      <c r="M951"/>
      <c r="N951"/>
      <c r="O951" s="59"/>
    </row>
    <row r="952" spans="1:15" x14ac:dyDescent="0.3">
      <c r="A952"/>
      <c r="B952"/>
      <c r="C952"/>
      <c r="D952"/>
      <c r="E952"/>
      <c r="F952"/>
      <c r="G952"/>
      <c r="H952" s="11"/>
      <c r="I952"/>
      <c r="J952"/>
      <c r="L952"/>
      <c r="M952"/>
      <c r="N952"/>
      <c r="O952" s="59"/>
    </row>
    <row r="953" spans="1:15" x14ac:dyDescent="0.3">
      <c r="A953"/>
      <c r="B953"/>
      <c r="C953"/>
      <c r="D953"/>
      <c r="E953"/>
      <c r="F953"/>
      <c r="G953"/>
      <c r="H953" s="11"/>
      <c r="I953"/>
      <c r="J953"/>
      <c r="L953"/>
      <c r="M953"/>
      <c r="N953"/>
      <c r="O953" s="59"/>
    </row>
    <row r="954" spans="1:15" x14ac:dyDescent="0.3">
      <c r="A954"/>
      <c r="B954"/>
      <c r="C954"/>
      <c r="D954"/>
      <c r="E954"/>
      <c r="F954"/>
      <c r="G954"/>
      <c r="H954" s="11"/>
      <c r="I954"/>
      <c r="J954"/>
      <c r="L954"/>
      <c r="M954"/>
      <c r="N954"/>
      <c r="O954" s="59"/>
    </row>
    <row r="955" spans="1:15" x14ac:dyDescent="0.3">
      <c r="A955"/>
      <c r="B955"/>
      <c r="C955"/>
      <c r="D955"/>
      <c r="E955"/>
      <c r="F955"/>
      <c r="G955"/>
      <c r="H955" s="11"/>
      <c r="I955"/>
      <c r="J955"/>
      <c r="L955"/>
      <c r="M955"/>
      <c r="N955"/>
      <c r="O955" s="59"/>
    </row>
    <row r="956" spans="1:15" x14ac:dyDescent="0.3">
      <c r="A956"/>
      <c r="B956"/>
      <c r="C956"/>
      <c r="D956"/>
      <c r="E956"/>
      <c r="F956"/>
      <c r="G956"/>
      <c r="H956" s="11"/>
      <c r="I956"/>
      <c r="J956"/>
      <c r="L956"/>
      <c r="M956"/>
      <c r="N956"/>
      <c r="O956" s="59"/>
    </row>
    <row r="957" spans="1:15" x14ac:dyDescent="0.3">
      <c r="A957"/>
      <c r="B957"/>
      <c r="C957"/>
      <c r="D957"/>
      <c r="E957"/>
      <c r="F957"/>
      <c r="G957"/>
      <c r="H957" s="11"/>
      <c r="I957"/>
      <c r="J957"/>
      <c r="L957"/>
      <c r="M957"/>
      <c r="N957"/>
      <c r="O957" s="59"/>
    </row>
    <row r="958" spans="1:15" x14ac:dyDescent="0.3">
      <c r="A958"/>
      <c r="B958"/>
      <c r="C958"/>
      <c r="D958"/>
      <c r="E958"/>
      <c r="F958"/>
      <c r="G958"/>
      <c r="H958" s="11"/>
      <c r="I958"/>
      <c r="J958"/>
      <c r="L958"/>
      <c r="M958"/>
      <c r="N958"/>
      <c r="O958" s="59"/>
    </row>
    <row r="959" spans="1:15" x14ac:dyDescent="0.3">
      <c r="A959"/>
      <c r="B959"/>
      <c r="C959"/>
      <c r="D959"/>
      <c r="E959"/>
      <c r="F959"/>
      <c r="G959"/>
      <c r="H959" s="11"/>
      <c r="I959"/>
      <c r="J959"/>
      <c r="L959"/>
      <c r="M959"/>
      <c r="N959"/>
      <c r="O959" s="59"/>
    </row>
    <row r="960" spans="1:15" x14ac:dyDescent="0.3">
      <c r="A960"/>
      <c r="B960"/>
      <c r="C960"/>
      <c r="D960"/>
      <c r="E960"/>
      <c r="F960"/>
      <c r="G960"/>
      <c r="H960" s="11"/>
      <c r="I960"/>
      <c r="J960"/>
      <c r="L960"/>
      <c r="M960"/>
      <c r="N960"/>
      <c r="O960" s="59"/>
    </row>
    <row r="961" spans="1:15" x14ac:dyDescent="0.3">
      <c r="A961"/>
      <c r="B961"/>
      <c r="C961"/>
      <c r="D961"/>
      <c r="E961"/>
      <c r="F961"/>
      <c r="G961"/>
      <c r="H961" s="11"/>
      <c r="I961"/>
      <c r="J961"/>
      <c r="L961"/>
      <c r="M961"/>
      <c r="N961"/>
      <c r="O961" s="59"/>
    </row>
    <row r="962" spans="1:15" x14ac:dyDescent="0.3">
      <c r="A962"/>
      <c r="B962"/>
      <c r="C962"/>
      <c r="D962"/>
      <c r="E962"/>
      <c r="F962"/>
      <c r="G962"/>
      <c r="H962" s="11"/>
      <c r="I962"/>
      <c r="J962"/>
      <c r="L962"/>
      <c r="M962"/>
      <c r="N962"/>
      <c r="O962" s="59"/>
    </row>
    <row r="963" spans="1:15" x14ac:dyDescent="0.3">
      <c r="A963"/>
      <c r="B963"/>
      <c r="C963"/>
      <c r="D963"/>
      <c r="E963"/>
      <c r="F963"/>
      <c r="G963"/>
      <c r="H963" s="11"/>
      <c r="I963"/>
      <c r="J963"/>
      <c r="L963"/>
      <c r="M963"/>
      <c r="N963"/>
      <c r="O963" s="59"/>
    </row>
    <row r="964" spans="1:15" x14ac:dyDescent="0.3">
      <c r="A964"/>
      <c r="B964"/>
      <c r="C964"/>
      <c r="D964"/>
      <c r="E964"/>
      <c r="F964"/>
      <c r="G964"/>
      <c r="H964" s="11"/>
      <c r="I964"/>
      <c r="J964"/>
      <c r="L964"/>
      <c r="M964"/>
      <c r="N964"/>
      <c r="O964" s="59"/>
    </row>
    <row r="965" spans="1:15" x14ac:dyDescent="0.3">
      <c r="A965"/>
      <c r="B965"/>
      <c r="C965"/>
      <c r="D965"/>
      <c r="E965"/>
      <c r="F965"/>
      <c r="G965"/>
      <c r="H965" s="11"/>
      <c r="I965"/>
      <c r="J965"/>
      <c r="L965"/>
      <c r="M965"/>
      <c r="N965"/>
      <c r="O965" s="59"/>
    </row>
    <row r="966" spans="1:15" x14ac:dyDescent="0.3">
      <c r="A966"/>
      <c r="B966"/>
      <c r="C966"/>
      <c r="D966"/>
      <c r="E966"/>
      <c r="F966"/>
      <c r="G966"/>
      <c r="H966" s="11"/>
      <c r="I966"/>
      <c r="J966"/>
      <c r="L966"/>
      <c r="M966"/>
      <c r="N966"/>
      <c r="O966" s="59"/>
    </row>
    <row r="967" spans="1:15" x14ac:dyDescent="0.3">
      <c r="A967"/>
      <c r="B967"/>
      <c r="C967"/>
      <c r="D967"/>
      <c r="E967"/>
      <c r="F967"/>
      <c r="G967"/>
      <c r="H967" s="11"/>
      <c r="I967"/>
      <c r="J967"/>
      <c r="L967"/>
      <c r="M967"/>
      <c r="N967"/>
      <c r="O967" s="59"/>
    </row>
    <row r="968" spans="1:15" x14ac:dyDescent="0.3">
      <c r="A968"/>
      <c r="B968"/>
      <c r="C968"/>
      <c r="D968"/>
      <c r="E968"/>
      <c r="F968"/>
      <c r="G968"/>
      <c r="H968" s="11"/>
      <c r="I968"/>
      <c r="J968"/>
      <c r="L968"/>
      <c r="M968"/>
      <c r="N968"/>
      <c r="O968" s="59"/>
    </row>
    <row r="969" spans="1:15" x14ac:dyDescent="0.3">
      <c r="A969"/>
      <c r="B969"/>
      <c r="C969"/>
      <c r="D969"/>
      <c r="E969"/>
      <c r="F969"/>
      <c r="G969"/>
      <c r="H969" s="11"/>
      <c r="I969"/>
      <c r="J969"/>
      <c r="L969"/>
      <c r="M969"/>
      <c r="N969"/>
      <c r="O969" s="59"/>
    </row>
    <row r="970" spans="1:15" x14ac:dyDescent="0.3">
      <c r="A970"/>
      <c r="B970"/>
      <c r="C970"/>
      <c r="D970"/>
      <c r="E970"/>
      <c r="F970"/>
      <c r="G970"/>
      <c r="H970" s="11"/>
      <c r="I970"/>
      <c r="J970"/>
      <c r="L970"/>
      <c r="M970"/>
      <c r="N970"/>
      <c r="O970" s="59"/>
    </row>
    <row r="971" spans="1:15" x14ac:dyDescent="0.3">
      <c r="A971"/>
      <c r="B971"/>
      <c r="C971"/>
      <c r="D971"/>
      <c r="E971"/>
      <c r="F971"/>
      <c r="G971"/>
      <c r="H971" s="11"/>
      <c r="I971"/>
      <c r="J971"/>
      <c r="L971"/>
      <c r="M971"/>
      <c r="N971"/>
      <c r="O971" s="59"/>
    </row>
    <row r="972" spans="1:15" x14ac:dyDescent="0.3">
      <c r="A972"/>
      <c r="B972"/>
      <c r="C972"/>
      <c r="D972"/>
      <c r="E972"/>
      <c r="F972"/>
      <c r="G972"/>
      <c r="H972" s="11"/>
      <c r="I972"/>
      <c r="J972"/>
      <c r="L972"/>
      <c r="M972"/>
      <c r="N972"/>
      <c r="O972" s="59"/>
    </row>
    <row r="973" spans="1:15" x14ac:dyDescent="0.3">
      <c r="A973"/>
      <c r="B973"/>
      <c r="C973"/>
      <c r="D973"/>
      <c r="E973"/>
      <c r="F973"/>
      <c r="G973"/>
      <c r="H973" s="11"/>
      <c r="I973"/>
      <c r="J973"/>
      <c r="L973"/>
      <c r="M973"/>
      <c r="N973"/>
      <c r="O973" s="59"/>
    </row>
    <row r="974" spans="1:15" x14ac:dyDescent="0.3">
      <c r="A974"/>
      <c r="B974"/>
      <c r="C974"/>
      <c r="D974"/>
      <c r="E974"/>
      <c r="F974"/>
      <c r="G974"/>
      <c r="H974" s="11"/>
      <c r="I974"/>
      <c r="J974"/>
      <c r="L974"/>
      <c r="M974"/>
      <c r="N974"/>
      <c r="O974" s="59"/>
    </row>
    <row r="975" spans="1:15" x14ac:dyDescent="0.3">
      <c r="A975"/>
      <c r="B975"/>
      <c r="C975"/>
      <c r="D975"/>
      <c r="E975"/>
      <c r="F975"/>
      <c r="G975"/>
      <c r="H975" s="11"/>
      <c r="I975"/>
      <c r="J975"/>
      <c r="L975"/>
      <c r="M975"/>
      <c r="N975"/>
      <c r="O975" s="59"/>
    </row>
    <row r="976" spans="1:15" x14ac:dyDescent="0.3">
      <c r="A976"/>
      <c r="B976"/>
      <c r="C976"/>
      <c r="D976"/>
      <c r="E976"/>
      <c r="F976"/>
      <c r="G976"/>
      <c r="H976" s="11"/>
      <c r="I976"/>
      <c r="J976"/>
      <c r="L976"/>
      <c r="M976"/>
      <c r="N976"/>
      <c r="O976" s="59"/>
    </row>
    <row r="977" spans="1:15" x14ac:dyDescent="0.3">
      <c r="A977"/>
      <c r="B977"/>
      <c r="C977"/>
      <c r="D977"/>
      <c r="E977"/>
      <c r="F977"/>
      <c r="G977"/>
      <c r="H977" s="11"/>
      <c r="I977"/>
      <c r="J977"/>
      <c r="L977"/>
      <c r="M977"/>
      <c r="N977"/>
      <c r="O977" s="59"/>
    </row>
    <row r="978" spans="1:15" x14ac:dyDescent="0.3">
      <c r="A978"/>
      <c r="B978"/>
      <c r="C978"/>
      <c r="D978"/>
      <c r="E978"/>
      <c r="F978"/>
      <c r="G978"/>
      <c r="H978" s="11"/>
      <c r="I978"/>
      <c r="J978"/>
      <c r="L978"/>
      <c r="M978"/>
      <c r="N978"/>
      <c r="O978" s="59"/>
    </row>
    <row r="979" spans="1:15" x14ac:dyDescent="0.3">
      <c r="A979"/>
      <c r="B979"/>
      <c r="C979"/>
      <c r="D979"/>
      <c r="E979"/>
      <c r="F979"/>
      <c r="G979"/>
      <c r="H979" s="11"/>
      <c r="I979"/>
      <c r="J979"/>
      <c r="L979"/>
      <c r="M979"/>
      <c r="N979"/>
      <c r="O979" s="59"/>
    </row>
    <row r="980" spans="1:15" x14ac:dyDescent="0.3">
      <c r="A980"/>
      <c r="B980"/>
      <c r="C980"/>
      <c r="D980"/>
      <c r="E980"/>
      <c r="F980"/>
      <c r="G980"/>
      <c r="H980" s="11"/>
      <c r="I980"/>
      <c r="J980"/>
      <c r="L980"/>
      <c r="M980"/>
      <c r="N980"/>
      <c r="O980" s="59"/>
    </row>
    <row r="981" spans="1:15" x14ac:dyDescent="0.3">
      <c r="A981"/>
      <c r="B981"/>
      <c r="C981"/>
      <c r="D981"/>
      <c r="E981"/>
      <c r="F981"/>
      <c r="G981"/>
      <c r="H981" s="11"/>
      <c r="I981"/>
      <c r="J981"/>
      <c r="L981"/>
      <c r="M981"/>
      <c r="N981"/>
      <c r="O981" s="59"/>
    </row>
    <row r="982" spans="1:15" x14ac:dyDescent="0.3">
      <c r="A982"/>
      <c r="B982"/>
      <c r="C982"/>
      <c r="D982"/>
      <c r="E982"/>
      <c r="F982"/>
      <c r="G982"/>
      <c r="H982" s="11"/>
      <c r="I982"/>
      <c r="J982"/>
      <c r="L982"/>
      <c r="M982"/>
      <c r="N982"/>
      <c r="O982" s="59"/>
    </row>
    <row r="983" spans="1:15" x14ac:dyDescent="0.3">
      <c r="A983"/>
      <c r="B983"/>
      <c r="C983"/>
      <c r="D983"/>
      <c r="E983"/>
      <c r="F983"/>
      <c r="G983"/>
      <c r="H983" s="11"/>
      <c r="I983"/>
      <c r="J983"/>
      <c r="L983"/>
      <c r="M983"/>
      <c r="N983"/>
      <c r="O983" s="59"/>
    </row>
    <row r="984" spans="1:15" x14ac:dyDescent="0.3">
      <c r="A984"/>
      <c r="B984"/>
      <c r="C984"/>
      <c r="D984"/>
      <c r="E984"/>
      <c r="F984"/>
      <c r="G984"/>
      <c r="H984" s="11"/>
      <c r="I984"/>
      <c r="J984"/>
      <c r="L984"/>
      <c r="M984"/>
      <c r="N984"/>
      <c r="O984" s="59"/>
    </row>
    <row r="985" spans="1:15" x14ac:dyDescent="0.3">
      <c r="A985"/>
      <c r="B985"/>
      <c r="C985"/>
      <c r="D985"/>
      <c r="E985"/>
      <c r="F985"/>
      <c r="G985"/>
      <c r="H985" s="11"/>
      <c r="I985"/>
      <c r="J985"/>
      <c r="L985"/>
      <c r="M985"/>
      <c r="N985"/>
      <c r="O985" s="59"/>
    </row>
    <row r="986" spans="1:15" x14ac:dyDescent="0.3">
      <c r="A986"/>
      <c r="B986"/>
      <c r="C986"/>
      <c r="D986"/>
      <c r="E986"/>
      <c r="F986"/>
      <c r="G986"/>
      <c r="H986" s="11"/>
      <c r="I986"/>
      <c r="J986"/>
      <c r="L986"/>
      <c r="M986"/>
      <c r="N986"/>
      <c r="O986" s="59"/>
    </row>
    <row r="987" spans="1:15" x14ac:dyDescent="0.3">
      <c r="A987"/>
      <c r="B987"/>
      <c r="C987"/>
      <c r="D987"/>
      <c r="E987"/>
      <c r="F987"/>
      <c r="G987"/>
      <c r="H987" s="11"/>
      <c r="I987"/>
      <c r="J987"/>
      <c r="L987"/>
      <c r="M987"/>
      <c r="N987"/>
      <c r="O987" s="59"/>
    </row>
    <row r="988" spans="1:15" x14ac:dyDescent="0.3">
      <c r="A988"/>
      <c r="B988"/>
      <c r="C988"/>
      <c r="D988"/>
      <c r="E988"/>
      <c r="F988"/>
      <c r="G988"/>
      <c r="H988" s="11"/>
      <c r="I988"/>
      <c r="J988"/>
      <c r="L988"/>
      <c r="M988"/>
      <c r="N988"/>
      <c r="O988" s="59"/>
    </row>
    <row r="989" spans="1:15" x14ac:dyDescent="0.3">
      <c r="A989"/>
      <c r="B989"/>
      <c r="C989"/>
      <c r="D989"/>
      <c r="E989"/>
      <c r="F989"/>
      <c r="G989"/>
      <c r="H989" s="11"/>
      <c r="I989"/>
      <c r="J989"/>
      <c r="L989"/>
      <c r="M989"/>
      <c r="N989"/>
      <c r="O989" s="59"/>
    </row>
    <row r="990" spans="1:15" x14ac:dyDescent="0.3">
      <c r="A990"/>
      <c r="B990"/>
      <c r="C990"/>
      <c r="D990"/>
      <c r="E990"/>
      <c r="F990"/>
      <c r="G990"/>
      <c r="H990" s="11"/>
      <c r="I990"/>
      <c r="J990"/>
      <c r="L990"/>
      <c r="M990"/>
      <c r="N990"/>
      <c r="O990" s="59"/>
    </row>
    <row r="991" spans="1:15" x14ac:dyDescent="0.3">
      <c r="A991"/>
      <c r="B991"/>
      <c r="C991"/>
      <c r="D991"/>
      <c r="E991"/>
      <c r="F991"/>
      <c r="G991"/>
      <c r="H991" s="11"/>
      <c r="I991"/>
      <c r="J991"/>
      <c r="L991"/>
      <c r="M991"/>
      <c r="N991"/>
      <c r="O991" s="59"/>
    </row>
    <row r="992" spans="1:15" x14ac:dyDescent="0.3">
      <c r="A992"/>
      <c r="B992"/>
      <c r="C992"/>
      <c r="D992"/>
      <c r="E992"/>
      <c r="F992"/>
      <c r="G992"/>
      <c r="H992" s="11"/>
      <c r="I992"/>
      <c r="J992"/>
      <c r="L992"/>
      <c r="M992"/>
      <c r="N992"/>
      <c r="O992" s="59"/>
    </row>
    <row r="993" spans="1:15" x14ac:dyDescent="0.3">
      <c r="A993"/>
      <c r="B993"/>
      <c r="C993"/>
      <c r="D993"/>
      <c r="E993"/>
      <c r="F993"/>
      <c r="G993"/>
      <c r="H993" s="11"/>
      <c r="I993"/>
      <c r="J993"/>
      <c r="L993"/>
      <c r="M993"/>
      <c r="N993"/>
      <c r="O993" s="59"/>
    </row>
    <row r="994" spans="1:15" x14ac:dyDescent="0.3">
      <c r="A994"/>
      <c r="B994"/>
      <c r="C994"/>
      <c r="D994"/>
      <c r="E994"/>
      <c r="F994"/>
      <c r="G994"/>
      <c r="H994" s="11"/>
      <c r="I994"/>
      <c r="J994"/>
      <c r="L994"/>
      <c r="M994"/>
      <c r="N994"/>
      <c r="O994" s="59"/>
    </row>
    <row r="995" spans="1:15" x14ac:dyDescent="0.3">
      <c r="A995"/>
      <c r="B995"/>
      <c r="C995"/>
      <c r="D995"/>
      <c r="E995"/>
      <c r="F995"/>
      <c r="G995"/>
      <c r="H995" s="11"/>
      <c r="I995"/>
      <c r="J995"/>
      <c r="L995"/>
      <c r="M995"/>
      <c r="N995"/>
      <c r="O995" s="59"/>
    </row>
    <row r="996" spans="1:15" x14ac:dyDescent="0.3">
      <c r="A996"/>
      <c r="B996"/>
      <c r="C996"/>
      <c r="D996"/>
      <c r="E996"/>
      <c r="F996"/>
      <c r="G996"/>
      <c r="H996" s="11"/>
      <c r="I996"/>
      <c r="J996"/>
      <c r="L996"/>
      <c r="M996"/>
      <c r="N996"/>
      <c r="O996" s="59"/>
    </row>
    <row r="997" spans="1:15" x14ac:dyDescent="0.3">
      <c r="A997"/>
      <c r="B997"/>
      <c r="C997"/>
      <c r="D997"/>
      <c r="E997"/>
      <c r="F997"/>
      <c r="G997"/>
      <c r="H997" s="11"/>
      <c r="I997"/>
      <c r="J997"/>
      <c r="L997"/>
      <c r="M997"/>
      <c r="N997"/>
      <c r="O997" s="59"/>
    </row>
    <row r="998" spans="1:15" x14ac:dyDescent="0.3">
      <c r="A998"/>
      <c r="B998"/>
      <c r="C998"/>
      <c r="D998"/>
      <c r="E998"/>
      <c r="F998"/>
      <c r="G998"/>
      <c r="H998" s="11"/>
      <c r="I998"/>
      <c r="J998"/>
      <c r="L998"/>
      <c r="M998"/>
      <c r="N998"/>
      <c r="O998" s="59"/>
    </row>
    <row r="999" spans="1:15" x14ac:dyDescent="0.3">
      <c r="A999"/>
      <c r="B999"/>
      <c r="C999"/>
      <c r="D999"/>
      <c r="E999"/>
      <c r="F999"/>
      <c r="G999"/>
      <c r="H999" s="11"/>
      <c r="I999"/>
      <c r="J999"/>
      <c r="L999"/>
      <c r="M999"/>
      <c r="N999"/>
      <c r="O999" s="59"/>
    </row>
    <row r="1000" spans="1:15" x14ac:dyDescent="0.3">
      <c r="A1000"/>
      <c r="B1000"/>
      <c r="C1000"/>
      <c r="D1000"/>
      <c r="E1000"/>
      <c r="F1000"/>
      <c r="G1000"/>
      <c r="H1000" s="11"/>
      <c r="I1000"/>
      <c r="J1000"/>
      <c r="L1000"/>
      <c r="M1000"/>
      <c r="N1000"/>
      <c r="O1000" s="59"/>
    </row>
    <row r="1001" spans="1:15" x14ac:dyDescent="0.3">
      <c r="A1001"/>
      <c r="B1001"/>
      <c r="C1001"/>
      <c r="D1001"/>
      <c r="E1001"/>
      <c r="F1001"/>
      <c r="G1001"/>
      <c r="H1001" s="11"/>
      <c r="I1001"/>
      <c r="J1001"/>
      <c r="L1001"/>
      <c r="M1001"/>
      <c r="N1001"/>
      <c r="O1001" s="59"/>
    </row>
    <row r="1002" spans="1:15" x14ac:dyDescent="0.3">
      <c r="A1002"/>
      <c r="B1002"/>
      <c r="C1002"/>
      <c r="D1002"/>
      <c r="E1002"/>
      <c r="F1002"/>
      <c r="G1002"/>
      <c r="H1002" s="11"/>
      <c r="I1002"/>
      <c r="J1002"/>
      <c r="L1002"/>
      <c r="M1002"/>
      <c r="N1002"/>
      <c r="O1002" s="59"/>
    </row>
    <row r="1003" spans="1:15" x14ac:dyDescent="0.3">
      <c r="A1003"/>
      <c r="B1003"/>
      <c r="C1003"/>
      <c r="D1003"/>
      <c r="E1003"/>
      <c r="F1003"/>
      <c r="G1003"/>
      <c r="H1003" s="11"/>
      <c r="I1003"/>
      <c r="J1003"/>
      <c r="L1003"/>
      <c r="M1003"/>
      <c r="N1003"/>
      <c r="O1003" s="59"/>
    </row>
    <row r="1004" spans="1:15" x14ac:dyDescent="0.3">
      <c r="A1004"/>
      <c r="B1004"/>
      <c r="C1004"/>
      <c r="D1004"/>
      <c r="E1004"/>
      <c r="F1004"/>
      <c r="G1004"/>
      <c r="H1004" s="11"/>
      <c r="I1004"/>
      <c r="J1004"/>
      <c r="L1004"/>
      <c r="M1004"/>
      <c r="N1004"/>
      <c r="O1004" s="59"/>
    </row>
    <row r="1005" spans="1:15" x14ac:dyDescent="0.3">
      <c r="A1005"/>
      <c r="B1005"/>
      <c r="C1005"/>
      <c r="D1005"/>
      <c r="E1005"/>
      <c r="F1005"/>
      <c r="G1005"/>
      <c r="H1005" s="11"/>
      <c r="I1005"/>
      <c r="J1005"/>
      <c r="L1005"/>
      <c r="M1005"/>
      <c r="N1005"/>
      <c r="O1005" s="59"/>
    </row>
    <row r="1006" spans="1:15" x14ac:dyDescent="0.3">
      <c r="A1006"/>
      <c r="B1006"/>
      <c r="C1006"/>
      <c r="D1006"/>
      <c r="E1006"/>
      <c r="F1006"/>
      <c r="G1006"/>
      <c r="H1006" s="11"/>
      <c r="I1006"/>
      <c r="J1006"/>
      <c r="L1006"/>
      <c r="M1006"/>
      <c r="N1006"/>
      <c r="O1006" s="59"/>
    </row>
    <row r="1007" spans="1:15" x14ac:dyDescent="0.3">
      <c r="A1007"/>
      <c r="B1007"/>
      <c r="C1007"/>
      <c r="D1007"/>
      <c r="E1007"/>
      <c r="F1007"/>
      <c r="G1007"/>
      <c r="H1007" s="11"/>
      <c r="I1007"/>
      <c r="J1007"/>
      <c r="L1007"/>
      <c r="M1007"/>
      <c r="N1007"/>
      <c r="O1007" s="59"/>
    </row>
    <row r="1008" spans="1:15" x14ac:dyDescent="0.3">
      <c r="A1008"/>
      <c r="B1008"/>
      <c r="C1008"/>
      <c r="D1008"/>
      <c r="E1008"/>
      <c r="F1008"/>
      <c r="G1008"/>
      <c r="H1008" s="11"/>
      <c r="I1008"/>
      <c r="J1008"/>
      <c r="L1008"/>
      <c r="M1008"/>
      <c r="N1008"/>
      <c r="O1008" s="59"/>
    </row>
    <row r="1009" spans="1:15" x14ac:dyDescent="0.3">
      <c r="A1009"/>
      <c r="B1009"/>
      <c r="C1009"/>
      <c r="D1009"/>
      <c r="E1009"/>
      <c r="F1009"/>
      <c r="G1009"/>
      <c r="H1009" s="11"/>
      <c r="I1009"/>
      <c r="J1009"/>
      <c r="L1009"/>
      <c r="M1009"/>
      <c r="N1009"/>
      <c r="O1009" s="59"/>
    </row>
    <row r="1010" spans="1:15" x14ac:dyDescent="0.3">
      <c r="A1010"/>
      <c r="B1010"/>
      <c r="C1010"/>
      <c r="D1010"/>
      <c r="E1010"/>
      <c r="F1010"/>
      <c r="G1010"/>
      <c r="H1010" s="11"/>
      <c r="I1010"/>
      <c r="J1010"/>
      <c r="L1010"/>
      <c r="M1010"/>
      <c r="N1010"/>
      <c r="O1010" s="59"/>
    </row>
    <row r="1011" spans="1:15" x14ac:dyDescent="0.3">
      <c r="A1011"/>
      <c r="B1011"/>
      <c r="C1011"/>
      <c r="D1011"/>
      <c r="E1011"/>
      <c r="F1011"/>
      <c r="G1011"/>
      <c r="H1011" s="11"/>
      <c r="I1011"/>
      <c r="J1011"/>
      <c r="L1011"/>
      <c r="M1011"/>
      <c r="N1011"/>
      <c r="O1011" s="59"/>
    </row>
    <row r="1012" spans="1:15" x14ac:dyDescent="0.3">
      <c r="A1012"/>
      <c r="B1012"/>
      <c r="C1012"/>
      <c r="D1012"/>
      <c r="E1012"/>
      <c r="F1012"/>
      <c r="G1012"/>
      <c r="H1012" s="11"/>
      <c r="I1012"/>
      <c r="J1012"/>
      <c r="L1012"/>
      <c r="M1012"/>
      <c r="N1012"/>
      <c r="O1012" s="59"/>
    </row>
    <row r="1013" spans="1:15" x14ac:dyDescent="0.3">
      <c r="A1013"/>
      <c r="B1013"/>
      <c r="C1013"/>
      <c r="D1013"/>
      <c r="E1013"/>
      <c r="F1013"/>
      <c r="G1013"/>
      <c r="H1013" s="11"/>
      <c r="I1013"/>
      <c r="J1013"/>
      <c r="L1013"/>
      <c r="M1013"/>
      <c r="N1013"/>
      <c r="O1013" s="59"/>
    </row>
    <row r="1014" spans="1:15" x14ac:dyDescent="0.3">
      <c r="A1014"/>
      <c r="B1014"/>
      <c r="C1014"/>
      <c r="D1014"/>
      <c r="E1014"/>
      <c r="F1014"/>
      <c r="G1014"/>
      <c r="H1014" s="11"/>
      <c r="I1014"/>
      <c r="J1014"/>
      <c r="L1014"/>
      <c r="M1014"/>
      <c r="N1014"/>
      <c r="O1014" s="59"/>
    </row>
    <row r="1015" spans="1:15" x14ac:dyDescent="0.3">
      <c r="A1015"/>
      <c r="B1015"/>
      <c r="C1015"/>
      <c r="D1015"/>
      <c r="E1015"/>
      <c r="F1015"/>
      <c r="G1015"/>
      <c r="H1015" s="11"/>
      <c r="I1015"/>
      <c r="J1015"/>
      <c r="L1015"/>
      <c r="M1015"/>
      <c r="N1015"/>
      <c r="O1015" s="59"/>
    </row>
    <row r="1016" spans="1:15" x14ac:dyDescent="0.3">
      <c r="A1016"/>
      <c r="B1016"/>
      <c r="C1016"/>
      <c r="D1016"/>
      <c r="E1016"/>
      <c r="F1016"/>
      <c r="G1016"/>
      <c r="H1016" s="11"/>
      <c r="I1016"/>
      <c r="J1016"/>
      <c r="L1016"/>
      <c r="M1016"/>
      <c r="N1016"/>
      <c r="O1016" s="59"/>
    </row>
    <row r="1017" spans="1:15" x14ac:dyDescent="0.3">
      <c r="A1017"/>
      <c r="B1017"/>
      <c r="C1017"/>
      <c r="D1017"/>
      <c r="E1017"/>
      <c r="F1017"/>
      <c r="G1017"/>
      <c r="H1017" s="11"/>
      <c r="I1017"/>
      <c r="J1017"/>
      <c r="L1017"/>
      <c r="M1017"/>
      <c r="N1017"/>
      <c r="O1017" s="59"/>
    </row>
    <row r="1018" spans="1:15" x14ac:dyDescent="0.3">
      <c r="A1018"/>
      <c r="B1018"/>
      <c r="C1018"/>
      <c r="D1018"/>
      <c r="E1018"/>
      <c r="F1018"/>
      <c r="G1018"/>
      <c r="H1018" s="11"/>
      <c r="I1018"/>
      <c r="J1018"/>
      <c r="L1018"/>
      <c r="M1018"/>
      <c r="N1018"/>
      <c r="O1018" s="59"/>
    </row>
    <row r="1019" spans="1:15" x14ac:dyDescent="0.3">
      <c r="A1019"/>
      <c r="B1019"/>
      <c r="C1019"/>
      <c r="D1019"/>
      <c r="E1019"/>
      <c r="F1019"/>
      <c r="G1019"/>
      <c r="H1019" s="11"/>
      <c r="I1019"/>
      <c r="J1019"/>
      <c r="L1019"/>
      <c r="M1019"/>
      <c r="N1019"/>
      <c r="O1019" s="59"/>
    </row>
    <row r="1020" spans="1:15" x14ac:dyDescent="0.3">
      <c r="A1020"/>
      <c r="B1020"/>
      <c r="C1020"/>
      <c r="D1020"/>
      <c r="E1020"/>
      <c r="F1020"/>
      <c r="G1020"/>
      <c r="H1020" s="11"/>
      <c r="I1020"/>
      <c r="J1020"/>
      <c r="L1020"/>
      <c r="M1020"/>
      <c r="N1020"/>
      <c r="O1020" s="59"/>
    </row>
    <row r="1021" spans="1:15" x14ac:dyDescent="0.3">
      <c r="A1021"/>
      <c r="B1021"/>
      <c r="C1021"/>
      <c r="D1021"/>
      <c r="E1021"/>
      <c r="F1021"/>
      <c r="G1021"/>
      <c r="H1021" s="11"/>
      <c r="I1021"/>
      <c r="J1021"/>
      <c r="L1021"/>
      <c r="M1021"/>
      <c r="N1021"/>
      <c r="O1021" s="59"/>
    </row>
    <row r="1022" spans="1:15" x14ac:dyDescent="0.3">
      <c r="A1022"/>
      <c r="B1022"/>
      <c r="C1022"/>
      <c r="D1022"/>
      <c r="E1022"/>
      <c r="F1022"/>
      <c r="G1022"/>
      <c r="H1022" s="11"/>
      <c r="I1022"/>
      <c r="J1022"/>
      <c r="L1022"/>
      <c r="M1022"/>
      <c r="N1022"/>
      <c r="O1022" s="59"/>
    </row>
    <row r="1023" spans="1:15" x14ac:dyDescent="0.3">
      <c r="A1023"/>
      <c r="B1023"/>
      <c r="C1023"/>
      <c r="D1023"/>
      <c r="E1023"/>
      <c r="F1023"/>
      <c r="G1023"/>
      <c r="H1023" s="11"/>
      <c r="I1023"/>
      <c r="J1023"/>
      <c r="L1023"/>
      <c r="M1023"/>
      <c r="N1023"/>
      <c r="O1023" s="59"/>
    </row>
    <row r="1024" spans="1:15" x14ac:dyDescent="0.3">
      <c r="A1024"/>
      <c r="B1024"/>
      <c r="C1024"/>
      <c r="D1024"/>
      <c r="E1024"/>
      <c r="F1024"/>
      <c r="G1024"/>
      <c r="H1024" s="11"/>
      <c r="I1024"/>
      <c r="J1024"/>
      <c r="L1024"/>
      <c r="M1024"/>
      <c r="N1024"/>
      <c r="O1024" s="59"/>
    </row>
    <row r="1025" spans="1:15" x14ac:dyDescent="0.3">
      <c r="A1025"/>
      <c r="B1025"/>
      <c r="C1025"/>
      <c r="D1025"/>
      <c r="E1025"/>
      <c r="F1025"/>
      <c r="G1025"/>
      <c r="H1025" s="11"/>
      <c r="I1025"/>
      <c r="J1025"/>
      <c r="L1025"/>
      <c r="M1025"/>
      <c r="N1025"/>
      <c r="O1025" s="59"/>
    </row>
    <row r="1026" spans="1:15" x14ac:dyDescent="0.3">
      <c r="A1026"/>
      <c r="B1026"/>
      <c r="C1026"/>
      <c r="D1026"/>
      <c r="E1026"/>
      <c r="F1026"/>
      <c r="G1026"/>
      <c r="H1026" s="11"/>
      <c r="I1026"/>
      <c r="J1026"/>
      <c r="L1026"/>
      <c r="M1026"/>
      <c r="N1026"/>
      <c r="O1026" s="59"/>
    </row>
    <row r="1027" spans="1:15" x14ac:dyDescent="0.3">
      <c r="A1027"/>
      <c r="B1027"/>
      <c r="C1027"/>
      <c r="D1027"/>
      <c r="E1027"/>
      <c r="F1027"/>
      <c r="G1027"/>
      <c r="H1027" s="11"/>
      <c r="I1027"/>
      <c r="J1027"/>
      <c r="L1027"/>
      <c r="M1027"/>
      <c r="N1027"/>
      <c r="O1027" s="59"/>
    </row>
    <row r="1028" spans="1:15" x14ac:dyDescent="0.3">
      <c r="A1028"/>
      <c r="B1028"/>
      <c r="C1028"/>
      <c r="D1028"/>
      <c r="E1028"/>
      <c r="F1028"/>
      <c r="G1028"/>
      <c r="H1028" s="11"/>
      <c r="I1028"/>
      <c r="J1028"/>
      <c r="L1028"/>
      <c r="M1028"/>
      <c r="N1028"/>
      <c r="O1028" s="59"/>
    </row>
    <row r="1029" spans="1:15" x14ac:dyDescent="0.3">
      <c r="A1029"/>
      <c r="B1029"/>
      <c r="C1029"/>
      <c r="D1029"/>
      <c r="E1029"/>
      <c r="F1029"/>
      <c r="G1029"/>
      <c r="H1029" s="11"/>
      <c r="I1029"/>
      <c r="J1029"/>
      <c r="L1029"/>
      <c r="M1029"/>
      <c r="N1029"/>
      <c r="O1029" s="59"/>
    </row>
    <row r="1030" spans="1:15" x14ac:dyDescent="0.3">
      <c r="A1030"/>
      <c r="B1030"/>
      <c r="C1030"/>
      <c r="D1030"/>
      <c r="E1030"/>
      <c r="F1030"/>
      <c r="G1030"/>
      <c r="H1030" s="11"/>
      <c r="I1030"/>
      <c r="J1030"/>
      <c r="L1030"/>
      <c r="M1030"/>
      <c r="N1030"/>
      <c r="O1030" s="59"/>
    </row>
    <row r="1031" spans="1:15" x14ac:dyDescent="0.3">
      <c r="A1031"/>
      <c r="B1031"/>
      <c r="C1031"/>
      <c r="D1031"/>
      <c r="E1031"/>
      <c r="F1031"/>
      <c r="G1031"/>
      <c r="H1031" s="11"/>
      <c r="I1031"/>
      <c r="J1031"/>
      <c r="L1031"/>
      <c r="M1031"/>
      <c r="N1031"/>
      <c r="O1031" s="59"/>
    </row>
    <row r="1032" spans="1:15" x14ac:dyDescent="0.3">
      <c r="A1032"/>
      <c r="B1032"/>
      <c r="C1032"/>
      <c r="D1032"/>
      <c r="E1032"/>
      <c r="F1032"/>
      <c r="G1032"/>
      <c r="H1032" s="11"/>
      <c r="I1032"/>
      <c r="J1032"/>
      <c r="L1032"/>
      <c r="M1032"/>
      <c r="N1032"/>
      <c r="O1032" s="59"/>
    </row>
    <row r="1033" spans="1:15" x14ac:dyDescent="0.3">
      <c r="A1033"/>
      <c r="B1033"/>
      <c r="C1033"/>
      <c r="D1033"/>
      <c r="E1033"/>
      <c r="F1033"/>
      <c r="G1033"/>
      <c r="H1033" s="11"/>
      <c r="I1033"/>
      <c r="J1033"/>
      <c r="L1033"/>
      <c r="M1033"/>
      <c r="N1033"/>
      <c r="O1033" s="59"/>
    </row>
    <row r="1034" spans="1:15" x14ac:dyDescent="0.3">
      <c r="A1034"/>
      <c r="B1034"/>
      <c r="C1034"/>
      <c r="D1034"/>
      <c r="E1034"/>
      <c r="F1034"/>
      <c r="G1034"/>
      <c r="H1034" s="11"/>
      <c r="I1034"/>
      <c r="J1034"/>
      <c r="L1034"/>
      <c r="M1034"/>
      <c r="N1034"/>
      <c r="O1034" s="59"/>
    </row>
    <row r="1035" spans="1:15" x14ac:dyDescent="0.3">
      <c r="A1035"/>
      <c r="B1035"/>
      <c r="C1035"/>
      <c r="D1035"/>
      <c r="E1035"/>
      <c r="F1035"/>
      <c r="G1035"/>
      <c r="H1035" s="11"/>
      <c r="I1035"/>
      <c r="J1035"/>
      <c r="L1035"/>
      <c r="M1035"/>
      <c r="N1035"/>
      <c r="O1035" s="59"/>
    </row>
    <row r="1036" spans="1:15" x14ac:dyDescent="0.3">
      <c r="A1036"/>
      <c r="B1036"/>
      <c r="C1036"/>
      <c r="D1036"/>
      <c r="E1036"/>
      <c r="F1036"/>
      <c r="G1036"/>
      <c r="H1036" s="11"/>
      <c r="I1036"/>
      <c r="J1036"/>
      <c r="L1036"/>
      <c r="M1036"/>
      <c r="N1036"/>
      <c r="O1036" s="59"/>
    </row>
    <row r="1037" spans="1:15" x14ac:dyDescent="0.3">
      <c r="A1037"/>
      <c r="B1037"/>
      <c r="C1037"/>
      <c r="D1037"/>
      <c r="E1037"/>
      <c r="F1037"/>
      <c r="G1037"/>
      <c r="H1037" s="11"/>
      <c r="I1037"/>
      <c r="J1037"/>
      <c r="L1037"/>
      <c r="M1037"/>
      <c r="N1037"/>
      <c r="O1037" s="59"/>
    </row>
    <row r="1038" spans="1:15" x14ac:dyDescent="0.3">
      <c r="A1038"/>
      <c r="B1038"/>
      <c r="C1038"/>
      <c r="D1038"/>
      <c r="E1038"/>
      <c r="F1038"/>
      <c r="G1038"/>
      <c r="H1038" s="11"/>
      <c r="I1038"/>
      <c r="J1038"/>
      <c r="L1038"/>
      <c r="M1038"/>
      <c r="N1038"/>
      <c r="O1038" s="59"/>
    </row>
    <row r="1039" spans="1:15" x14ac:dyDescent="0.3">
      <c r="A1039"/>
      <c r="B1039"/>
      <c r="C1039"/>
      <c r="D1039"/>
      <c r="E1039"/>
      <c r="F1039"/>
      <c r="G1039"/>
      <c r="H1039" s="11"/>
      <c r="I1039"/>
      <c r="J1039"/>
      <c r="L1039"/>
      <c r="M1039"/>
      <c r="N1039"/>
      <c r="O1039" s="59"/>
    </row>
    <row r="1040" spans="1:15" x14ac:dyDescent="0.3">
      <c r="A1040"/>
      <c r="B1040"/>
      <c r="C1040"/>
      <c r="D1040"/>
      <c r="E1040"/>
      <c r="F1040"/>
      <c r="G1040"/>
      <c r="H1040" s="11"/>
      <c r="I1040"/>
      <c r="J1040"/>
      <c r="L1040"/>
      <c r="M1040"/>
      <c r="N1040"/>
      <c r="O1040" s="59"/>
    </row>
    <row r="1041" spans="1:15" x14ac:dyDescent="0.3">
      <c r="A1041"/>
      <c r="B1041"/>
      <c r="C1041"/>
      <c r="D1041"/>
      <c r="E1041"/>
      <c r="F1041"/>
      <c r="G1041"/>
      <c r="H1041" s="11"/>
      <c r="I1041"/>
      <c r="J1041"/>
      <c r="L1041"/>
      <c r="M1041"/>
      <c r="N1041"/>
      <c r="O1041" s="59"/>
    </row>
    <row r="1042" spans="1:15" x14ac:dyDescent="0.3">
      <c r="A1042"/>
      <c r="B1042"/>
      <c r="C1042"/>
      <c r="D1042"/>
      <c r="E1042"/>
      <c r="F1042"/>
      <c r="G1042"/>
      <c r="H1042" s="11"/>
      <c r="I1042"/>
      <c r="J1042"/>
      <c r="L1042"/>
      <c r="M1042"/>
      <c r="N1042"/>
      <c r="O1042" s="59"/>
    </row>
    <row r="1043" spans="1:15" x14ac:dyDescent="0.3">
      <c r="A1043"/>
      <c r="B1043"/>
      <c r="C1043"/>
      <c r="D1043"/>
      <c r="E1043"/>
      <c r="F1043"/>
      <c r="G1043"/>
      <c r="H1043" s="11"/>
      <c r="I1043"/>
      <c r="J1043"/>
      <c r="L1043"/>
      <c r="M1043"/>
      <c r="N1043"/>
      <c r="O1043" s="59"/>
    </row>
    <row r="1044" spans="1:15" x14ac:dyDescent="0.3">
      <c r="A1044"/>
      <c r="B1044"/>
      <c r="C1044"/>
      <c r="D1044"/>
      <c r="E1044"/>
      <c r="F1044"/>
      <c r="G1044"/>
      <c r="H1044" s="11"/>
      <c r="I1044"/>
      <c r="J1044"/>
      <c r="L1044"/>
      <c r="M1044"/>
      <c r="N1044"/>
      <c r="O1044" s="59"/>
    </row>
    <row r="1045" spans="1:15" x14ac:dyDescent="0.3">
      <c r="A1045"/>
      <c r="B1045"/>
      <c r="C1045"/>
      <c r="D1045"/>
      <c r="E1045"/>
      <c r="F1045"/>
      <c r="G1045"/>
      <c r="H1045" s="11"/>
      <c r="I1045"/>
      <c r="J1045"/>
      <c r="L1045"/>
      <c r="M1045"/>
      <c r="N1045"/>
      <c r="O1045" s="59"/>
    </row>
    <row r="1046" spans="1:15" x14ac:dyDescent="0.3">
      <c r="A1046"/>
      <c r="B1046"/>
      <c r="C1046"/>
      <c r="D1046"/>
      <c r="E1046"/>
      <c r="F1046"/>
      <c r="G1046"/>
      <c r="H1046" s="11"/>
      <c r="I1046"/>
      <c r="J1046"/>
      <c r="L1046"/>
      <c r="M1046"/>
      <c r="N1046"/>
      <c r="O1046" s="59"/>
    </row>
    <row r="1047" spans="1:15" x14ac:dyDescent="0.3">
      <c r="A1047"/>
      <c r="B1047"/>
      <c r="C1047"/>
      <c r="D1047"/>
      <c r="E1047"/>
      <c r="F1047"/>
      <c r="G1047"/>
      <c r="H1047" s="11"/>
      <c r="I1047"/>
      <c r="J1047"/>
      <c r="L1047"/>
      <c r="M1047"/>
      <c r="N1047"/>
      <c r="O1047" s="59"/>
    </row>
    <row r="1048" spans="1:15" x14ac:dyDescent="0.3">
      <c r="A1048"/>
      <c r="B1048"/>
      <c r="C1048"/>
      <c r="D1048"/>
      <c r="E1048"/>
      <c r="F1048"/>
      <c r="G1048"/>
      <c r="H1048" s="11"/>
      <c r="I1048"/>
      <c r="J1048"/>
      <c r="L1048"/>
      <c r="M1048"/>
      <c r="N1048"/>
      <c r="O1048" s="59"/>
    </row>
    <row r="1049" spans="1:15" x14ac:dyDescent="0.3">
      <c r="A1049"/>
      <c r="B1049"/>
      <c r="C1049"/>
      <c r="D1049"/>
      <c r="E1049"/>
      <c r="F1049"/>
      <c r="G1049"/>
      <c r="H1049" s="11"/>
      <c r="I1049"/>
      <c r="J1049"/>
      <c r="L1049"/>
      <c r="M1049"/>
      <c r="N1049"/>
      <c r="O1049" s="59"/>
    </row>
    <row r="1050" spans="1:15" x14ac:dyDescent="0.3">
      <c r="A1050"/>
      <c r="B1050"/>
      <c r="C1050"/>
      <c r="D1050"/>
      <c r="E1050"/>
      <c r="F1050"/>
      <c r="G1050"/>
      <c r="H1050" s="11"/>
      <c r="I1050"/>
      <c r="J1050"/>
      <c r="L1050"/>
      <c r="M1050"/>
      <c r="N1050"/>
      <c r="O1050" s="59"/>
    </row>
    <row r="1051" spans="1:15" x14ac:dyDescent="0.3">
      <c r="A1051"/>
      <c r="B1051"/>
      <c r="C1051"/>
      <c r="D1051"/>
      <c r="E1051"/>
      <c r="F1051"/>
      <c r="G1051"/>
      <c r="H1051" s="11"/>
      <c r="I1051"/>
      <c r="J1051"/>
      <c r="L1051"/>
      <c r="M1051"/>
      <c r="N1051"/>
      <c r="O1051" s="59"/>
    </row>
    <row r="1052" spans="1:15" x14ac:dyDescent="0.3">
      <c r="A1052"/>
      <c r="B1052"/>
      <c r="C1052"/>
      <c r="D1052"/>
      <c r="E1052"/>
      <c r="F1052"/>
      <c r="G1052"/>
      <c r="H1052" s="11"/>
      <c r="I1052"/>
      <c r="J1052"/>
      <c r="L1052"/>
      <c r="M1052"/>
      <c r="N1052"/>
      <c r="O1052" s="59"/>
    </row>
    <row r="1053" spans="1:15" x14ac:dyDescent="0.3">
      <c r="A1053"/>
      <c r="B1053"/>
      <c r="C1053"/>
      <c r="D1053"/>
      <c r="E1053"/>
      <c r="F1053"/>
      <c r="G1053"/>
      <c r="H1053" s="11"/>
      <c r="I1053"/>
      <c r="J1053"/>
      <c r="L1053"/>
      <c r="M1053"/>
      <c r="N1053"/>
      <c r="O1053" s="59"/>
    </row>
    <row r="1054" spans="1:15" x14ac:dyDescent="0.3">
      <c r="A1054"/>
      <c r="B1054"/>
      <c r="C1054"/>
      <c r="D1054"/>
      <c r="E1054"/>
      <c r="F1054"/>
      <c r="G1054"/>
      <c r="H1054" s="11"/>
      <c r="I1054"/>
      <c r="J1054"/>
      <c r="L1054"/>
      <c r="M1054"/>
      <c r="N1054"/>
      <c r="O1054" s="59"/>
    </row>
    <row r="1055" spans="1:15" x14ac:dyDescent="0.3">
      <c r="A1055"/>
      <c r="B1055"/>
      <c r="C1055"/>
      <c r="D1055"/>
      <c r="E1055"/>
      <c r="F1055"/>
      <c r="G1055"/>
      <c r="H1055" s="11"/>
      <c r="I1055"/>
      <c r="J1055"/>
      <c r="L1055"/>
      <c r="M1055"/>
      <c r="N1055"/>
      <c r="O1055" s="59"/>
    </row>
    <row r="1056" spans="1:15" x14ac:dyDescent="0.3">
      <c r="A1056"/>
      <c r="B1056"/>
      <c r="C1056"/>
      <c r="D1056"/>
      <c r="E1056"/>
      <c r="F1056"/>
      <c r="G1056"/>
      <c r="H1056" s="11"/>
      <c r="I1056"/>
      <c r="J1056"/>
      <c r="L1056"/>
      <c r="M1056"/>
      <c r="N1056"/>
      <c r="O1056" s="59"/>
    </row>
    <row r="1057" spans="1:15" x14ac:dyDescent="0.3">
      <c r="A1057"/>
      <c r="B1057"/>
      <c r="C1057"/>
      <c r="D1057"/>
      <c r="E1057"/>
      <c r="F1057"/>
      <c r="G1057"/>
      <c r="H1057" s="11"/>
      <c r="I1057"/>
      <c r="J1057"/>
      <c r="L1057"/>
      <c r="M1057"/>
      <c r="N1057"/>
      <c r="O1057" s="59"/>
    </row>
    <row r="1058" spans="1:15" x14ac:dyDescent="0.3">
      <c r="A1058"/>
      <c r="B1058"/>
      <c r="C1058"/>
      <c r="D1058"/>
      <c r="E1058"/>
      <c r="F1058"/>
      <c r="G1058"/>
      <c r="H1058" s="11"/>
      <c r="I1058"/>
      <c r="J1058"/>
      <c r="L1058"/>
      <c r="M1058"/>
      <c r="N1058"/>
      <c r="O1058" s="59"/>
    </row>
    <row r="1059" spans="1:15" x14ac:dyDescent="0.3">
      <c r="A1059"/>
      <c r="B1059"/>
      <c r="C1059"/>
      <c r="D1059"/>
      <c r="E1059"/>
      <c r="F1059"/>
      <c r="G1059"/>
      <c r="H1059" s="11"/>
      <c r="I1059"/>
      <c r="J1059"/>
      <c r="L1059"/>
      <c r="M1059"/>
      <c r="N1059"/>
      <c r="O1059" s="59"/>
    </row>
    <row r="1060" spans="1:15" x14ac:dyDescent="0.3">
      <c r="A1060"/>
      <c r="B1060"/>
      <c r="C1060"/>
      <c r="D1060"/>
      <c r="E1060"/>
      <c r="F1060"/>
      <c r="G1060"/>
      <c r="H1060" s="11"/>
      <c r="I1060"/>
      <c r="J1060"/>
      <c r="L1060"/>
      <c r="M1060"/>
      <c r="N1060"/>
      <c r="O1060" s="59"/>
    </row>
    <row r="1061" spans="1:15" x14ac:dyDescent="0.3">
      <c r="A1061"/>
      <c r="B1061"/>
      <c r="C1061"/>
      <c r="D1061"/>
      <c r="E1061"/>
      <c r="F1061"/>
      <c r="G1061"/>
      <c r="H1061" s="11"/>
      <c r="I1061"/>
      <c r="J1061"/>
      <c r="L1061"/>
      <c r="M1061"/>
      <c r="N1061"/>
      <c r="O1061" s="59"/>
    </row>
    <row r="1062" spans="1:15" x14ac:dyDescent="0.3">
      <c r="A1062"/>
      <c r="B1062"/>
      <c r="C1062"/>
      <c r="D1062"/>
      <c r="E1062"/>
      <c r="F1062"/>
      <c r="G1062"/>
      <c r="H1062" s="11"/>
      <c r="I1062"/>
      <c r="J1062"/>
      <c r="L1062"/>
      <c r="M1062"/>
      <c r="N1062"/>
      <c r="O1062" s="59"/>
    </row>
    <row r="1063" spans="1:15" x14ac:dyDescent="0.3">
      <c r="A1063"/>
      <c r="B1063"/>
      <c r="C1063"/>
      <c r="D1063"/>
      <c r="E1063"/>
      <c r="F1063"/>
      <c r="G1063"/>
      <c r="H1063" s="11"/>
      <c r="I1063"/>
      <c r="J1063"/>
      <c r="L1063"/>
      <c r="M1063"/>
      <c r="N1063"/>
      <c r="O1063" s="59"/>
    </row>
    <row r="1064" spans="1:15" x14ac:dyDescent="0.3">
      <c r="A1064"/>
      <c r="B1064"/>
      <c r="C1064"/>
      <c r="D1064"/>
      <c r="E1064"/>
      <c r="F1064"/>
      <c r="G1064"/>
      <c r="H1064" s="11"/>
      <c r="I1064"/>
      <c r="J1064"/>
      <c r="L1064"/>
      <c r="M1064"/>
      <c r="N1064"/>
      <c r="O1064" s="59"/>
    </row>
    <row r="1065" spans="1:15" x14ac:dyDescent="0.3">
      <c r="A1065"/>
      <c r="B1065"/>
      <c r="C1065"/>
      <c r="D1065"/>
      <c r="E1065"/>
      <c r="F1065"/>
      <c r="G1065"/>
      <c r="H1065" s="11"/>
      <c r="I1065"/>
      <c r="J1065"/>
      <c r="L1065"/>
      <c r="M1065"/>
      <c r="N1065"/>
      <c r="O1065" s="59"/>
    </row>
    <row r="1066" spans="1:15" x14ac:dyDescent="0.3">
      <c r="A1066"/>
      <c r="B1066"/>
      <c r="C1066"/>
      <c r="D1066"/>
      <c r="E1066"/>
      <c r="F1066"/>
      <c r="G1066"/>
      <c r="H1066" s="11"/>
      <c r="I1066"/>
      <c r="J1066"/>
      <c r="L1066"/>
      <c r="M1066"/>
      <c r="N1066"/>
      <c r="O1066" s="59"/>
    </row>
    <row r="1067" spans="1:15" x14ac:dyDescent="0.3">
      <c r="A1067"/>
      <c r="B1067"/>
      <c r="C1067"/>
      <c r="D1067"/>
      <c r="E1067"/>
      <c r="F1067"/>
      <c r="G1067"/>
      <c r="H1067" s="11"/>
      <c r="I1067"/>
      <c r="J1067"/>
      <c r="L1067"/>
      <c r="M1067"/>
      <c r="N1067"/>
      <c r="O1067" s="59"/>
    </row>
    <row r="1068" spans="1:15" x14ac:dyDescent="0.3">
      <c r="A1068"/>
      <c r="B1068"/>
      <c r="C1068"/>
      <c r="D1068"/>
      <c r="E1068"/>
      <c r="F1068"/>
      <c r="G1068"/>
      <c r="H1068" s="11"/>
      <c r="I1068"/>
      <c r="J1068"/>
      <c r="L1068"/>
      <c r="M1068"/>
      <c r="N1068"/>
      <c r="O1068" s="59"/>
    </row>
    <row r="1069" spans="1:15" x14ac:dyDescent="0.3">
      <c r="A1069"/>
      <c r="B1069"/>
      <c r="C1069"/>
      <c r="D1069"/>
      <c r="E1069"/>
      <c r="F1069"/>
      <c r="G1069"/>
      <c r="H1069" s="11"/>
      <c r="I1069"/>
      <c r="J1069"/>
      <c r="L1069"/>
      <c r="M1069"/>
      <c r="N1069"/>
      <c r="O1069" s="59"/>
    </row>
    <row r="1070" spans="1:15" x14ac:dyDescent="0.3">
      <c r="A1070"/>
      <c r="B1070"/>
      <c r="C1070"/>
      <c r="D1070"/>
      <c r="E1070"/>
      <c r="F1070"/>
      <c r="G1070"/>
      <c r="H1070" s="11"/>
      <c r="I1070"/>
      <c r="J1070"/>
      <c r="L1070"/>
      <c r="M1070"/>
      <c r="N1070"/>
      <c r="O1070" s="59"/>
    </row>
    <row r="1071" spans="1:15" x14ac:dyDescent="0.3">
      <c r="A1071"/>
      <c r="B1071"/>
      <c r="C1071"/>
      <c r="D1071"/>
      <c r="E1071"/>
      <c r="F1071"/>
      <c r="G1071"/>
      <c r="H1071" s="11"/>
      <c r="I1071"/>
      <c r="J1071"/>
      <c r="L1071"/>
      <c r="M1071"/>
      <c r="N1071"/>
      <c r="O1071" s="59"/>
    </row>
    <row r="1072" spans="1:15" x14ac:dyDescent="0.3">
      <c r="A1072"/>
      <c r="B1072"/>
      <c r="C1072"/>
      <c r="D1072"/>
      <c r="E1072"/>
      <c r="F1072"/>
      <c r="G1072"/>
      <c r="H1072" s="11"/>
      <c r="I1072"/>
      <c r="J1072"/>
      <c r="L1072"/>
      <c r="M1072"/>
      <c r="N1072"/>
      <c r="O1072" s="59"/>
    </row>
    <row r="1073" spans="1:15" x14ac:dyDescent="0.3">
      <c r="A1073"/>
      <c r="B1073"/>
      <c r="C1073"/>
      <c r="D1073"/>
      <c r="E1073"/>
      <c r="F1073"/>
      <c r="G1073"/>
      <c r="H1073" s="11"/>
      <c r="I1073"/>
      <c r="J1073"/>
      <c r="L1073"/>
      <c r="M1073"/>
      <c r="N1073"/>
      <c r="O1073" s="59"/>
    </row>
    <row r="1074" spans="1:15" x14ac:dyDescent="0.3">
      <c r="A1074"/>
      <c r="B1074"/>
      <c r="C1074"/>
      <c r="D1074"/>
      <c r="E1074"/>
      <c r="F1074"/>
      <c r="G1074"/>
      <c r="H1074" s="11"/>
      <c r="I1074"/>
      <c r="J1074"/>
      <c r="L1074"/>
      <c r="M1074"/>
      <c r="N1074"/>
      <c r="O1074" s="59"/>
    </row>
    <row r="1075" spans="1:15" x14ac:dyDescent="0.3">
      <c r="A1075"/>
      <c r="B1075"/>
      <c r="C1075"/>
      <c r="D1075"/>
      <c r="E1075"/>
      <c r="F1075"/>
      <c r="G1075"/>
      <c r="H1075" s="11"/>
      <c r="I1075"/>
      <c r="J1075"/>
      <c r="L1075"/>
      <c r="M1075"/>
      <c r="N1075"/>
      <c r="O1075" s="59"/>
    </row>
    <row r="1076" spans="1:15" x14ac:dyDescent="0.3">
      <c r="A1076"/>
      <c r="B1076"/>
      <c r="C1076"/>
      <c r="D1076"/>
      <c r="E1076"/>
      <c r="F1076"/>
      <c r="G1076"/>
      <c r="H1076" s="11"/>
      <c r="I1076"/>
      <c r="J1076"/>
      <c r="L1076"/>
      <c r="M1076"/>
      <c r="N1076"/>
      <c r="O1076" s="59"/>
    </row>
    <row r="1077" spans="1:15" x14ac:dyDescent="0.3">
      <c r="A1077"/>
      <c r="B1077"/>
      <c r="C1077"/>
      <c r="D1077"/>
      <c r="E1077"/>
      <c r="F1077"/>
      <c r="G1077"/>
      <c r="H1077" s="11"/>
      <c r="I1077"/>
      <c r="J1077"/>
      <c r="L1077"/>
      <c r="M1077"/>
      <c r="N1077"/>
      <c r="O1077" s="59"/>
    </row>
    <row r="1078" spans="1:15" x14ac:dyDescent="0.3">
      <c r="A1078"/>
      <c r="B1078"/>
      <c r="C1078"/>
      <c r="D1078"/>
      <c r="E1078"/>
      <c r="F1078"/>
      <c r="G1078"/>
      <c r="H1078" s="11"/>
      <c r="I1078"/>
      <c r="J1078"/>
      <c r="L1078"/>
      <c r="M1078"/>
      <c r="N1078"/>
      <c r="O1078" s="59"/>
    </row>
    <row r="1079" spans="1:15" x14ac:dyDescent="0.3">
      <c r="A1079"/>
      <c r="B1079"/>
      <c r="C1079"/>
      <c r="D1079"/>
      <c r="E1079"/>
      <c r="F1079"/>
      <c r="G1079"/>
      <c r="H1079" s="11"/>
      <c r="I1079"/>
      <c r="J1079"/>
      <c r="L1079"/>
      <c r="M1079"/>
      <c r="N1079"/>
      <c r="O1079" s="59"/>
    </row>
    <row r="1080" spans="1:15" x14ac:dyDescent="0.3">
      <c r="A1080"/>
      <c r="B1080"/>
      <c r="C1080"/>
      <c r="D1080"/>
      <c r="E1080"/>
      <c r="F1080"/>
      <c r="G1080"/>
      <c r="H1080" s="11"/>
      <c r="I1080"/>
      <c r="J1080"/>
      <c r="L1080"/>
      <c r="M1080"/>
      <c r="N1080"/>
      <c r="O1080" s="59"/>
    </row>
    <row r="1081" spans="1:15" x14ac:dyDescent="0.3">
      <c r="A1081"/>
      <c r="B1081"/>
      <c r="C1081"/>
      <c r="D1081"/>
      <c r="E1081"/>
      <c r="F1081"/>
      <c r="G1081"/>
      <c r="H1081" s="11"/>
      <c r="I1081"/>
      <c r="J1081"/>
      <c r="L1081"/>
      <c r="M1081"/>
      <c r="N1081"/>
      <c r="O1081" s="59"/>
    </row>
    <row r="1082" spans="1:15" x14ac:dyDescent="0.3">
      <c r="A1082"/>
      <c r="B1082"/>
      <c r="C1082"/>
      <c r="D1082"/>
      <c r="E1082"/>
      <c r="F1082"/>
      <c r="G1082"/>
      <c r="H1082" s="11"/>
      <c r="I1082"/>
      <c r="J1082"/>
      <c r="L1082"/>
      <c r="M1082"/>
      <c r="N1082"/>
      <c r="O1082" s="59"/>
    </row>
    <row r="1083" spans="1:15" x14ac:dyDescent="0.3">
      <c r="A1083"/>
      <c r="B1083"/>
      <c r="C1083"/>
      <c r="D1083"/>
      <c r="E1083"/>
      <c r="F1083"/>
      <c r="G1083"/>
      <c r="H1083" s="11"/>
      <c r="I1083"/>
      <c r="J1083"/>
      <c r="L1083"/>
      <c r="M1083"/>
      <c r="N1083"/>
      <c r="O1083" s="59"/>
    </row>
    <row r="1084" spans="1:15" x14ac:dyDescent="0.3">
      <c r="A1084"/>
      <c r="B1084"/>
      <c r="C1084"/>
      <c r="D1084"/>
      <c r="E1084"/>
      <c r="F1084"/>
      <c r="G1084"/>
      <c r="H1084" s="11"/>
      <c r="I1084"/>
      <c r="J1084"/>
      <c r="L1084"/>
      <c r="M1084"/>
      <c r="N1084"/>
      <c r="O1084" s="59"/>
    </row>
    <row r="1085" spans="1:15" x14ac:dyDescent="0.3">
      <c r="A1085"/>
      <c r="B1085"/>
      <c r="C1085"/>
      <c r="D1085"/>
      <c r="E1085"/>
      <c r="F1085"/>
      <c r="G1085"/>
      <c r="H1085" s="11"/>
      <c r="I1085"/>
      <c r="J1085"/>
      <c r="L1085"/>
      <c r="M1085"/>
      <c r="N1085"/>
      <c r="O1085" s="59"/>
    </row>
    <row r="1086" spans="1:15" x14ac:dyDescent="0.3">
      <c r="A1086"/>
      <c r="B1086"/>
      <c r="C1086"/>
      <c r="D1086"/>
      <c r="E1086"/>
      <c r="F1086"/>
      <c r="G1086"/>
      <c r="H1086" s="11"/>
      <c r="I1086"/>
      <c r="J1086"/>
      <c r="L1086"/>
      <c r="M1086"/>
      <c r="N1086"/>
      <c r="O1086" s="59"/>
    </row>
    <row r="1087" spans="1:15" x14ac:dyDescent="0.3">
      <c r="A1087"/>
      <c r="B1087"/>
      <c r="C1087"/>
      <c r="D1087"/>
      <c r="E1087"/>
      <c r="F1087"/>
      <c r="G1087"/>
      <c r="H1087" s="11"/>
      <c r="I1087"/>
      <c r="J1087"/>
      <c r="L1087"/>
      <c r="M1087"/>
      <c r="N1087"/>
      <c r="O1087" s="59"/>
    </row>
    <row r="1088" spans="1:15" x14ac:dyDescent="0.3">
      <c r="A1088"/>
      <c r="B1088"/>
      <c r="C1088"/>
      <c r="D1088"/>
      <c r="E1088"/>
      <c r="F1088"/>
      <c r="G1088"/>
      <c r="H1088" s="11"/>
      <c r="I1088"/>
      <c r="J1088"/>
      <c r="L1088"/>
      <c r="M1088"/>
      <c r="N1088"/>
      <c r="O1088" s="59"/>
    </row>
    <row r="1089" spans="1:15" x14ac:dyDescent="0.3">
      <c r="A1089"/>
      <c r="B1089"/>
      <c r="C1089"/>
      <c r="D1089"/>
      <c r="E1089"/>
      <c r="F1089"/>
      <c r="G1089"/>
      <c r="H1089" s="11"/>
      <c r="I1089"/>
      <c r="J1089"/>
      <c r="L1089"/>
      <c r="M1089"/>
      <c r="N1089"/>
      <c r="O1089" s="59"/>
    </row>
    <row r="1090" spans="1:15" x14ac:dyDescent="0.3">
      <c r="A1090"/>
      <c r="B1090"/>
      <c r="C1090"/>
      <c r="D1090"/>
      <c r="E1090"/>
      <c r="F1090"/>
      <c r="G1090"/>
      <c r="H1090" s="11"/>
      <c r="I1090"/>
      <c r="J1090"/>
      <c r="L1090"/>
      <c r="M1090"/>
      <c r="N1090"/>
      <c r="O1090" s="59"/>
    </row>
    <row r="1091" spans="1:15" x14ac:dyDescent="0.3">
      <c r="A1091"/>
      <c r="B1091"/>
      <c r="C1091"/>
      <c r="D1091"/>
      <c r="E1091"/>
      <c r="F1091"/>
      <c r="G1091"/>
      <c r="H1091" s="11"/>
      <c r="I1091"/>
      <c r="J1091"/>
      <c r="L1091"/>
      <c r="M1091"/>
      <c r="N1091"/>
      <c r="O1091" s="59"/>
    </row>
    <row r="1092" spans="1:15" x14ac:dyDescent="0.3">
      <c r="A1092"/>
      <c r="B1092"/>
      <c r="C1092"/>
      <c r="D1092"/>
      <c r="E1092"/>
      <c r="F1092"/>
      <c r="G1092"/>
      <c r="H1092" s="11"/>
      <c r="I1092"/>
      <c r="J1092"/>
      <c r="L1092"/>
      <c r="M1092"/>
      <c r="N1092"/>
      <c r="O1092" s="59"/>
    </row>
    <row r="1093" spans="1:15" x14ac:dyDescent="0.3">
      <c r="A1093"/>
      <c r="B1093"/>
      <c r="C1093"/>
      <c r="D1093"/>
      <c r="E1093"/>
      <c r="F1093"/>
      <c r="G1093"/>
      <c r="H1093" s="11"/>
      <c r="I1093"/>
      <c r="J1093"/>
      <c r="L1093"/>
      <c r="M1093"/>
      <c r="N1093"/>
      <c r="O1093" s="59"/>
    </row>
    <row r="1094" spans="1:15" x14ac:dyDescent="0.3">
      <c r="A1094"/>
      <c r="B1094"/>
      <c r="C1094"/>
      <c r="D1094"/>
      <c r="E1094"/>
      <c r="F1094"/>
      <c r="G1094"/>
      <c r="H1094" s="11"/>
      <c r="I1094"/>
      <c r="J1094"/>
      <c r="L1094"/>
      <c r="M1094"/>
      <c r="N1094"/>
      <c r="O1094" s="59"/>
    </row>
    <row r="1095" spans="1:15" x14ac:dyDescent="0.3">
      <c r="A1095"/>
      <c r="B1095"/>
      <c r="C1095"/>
      <c r="D1095"/>
      <c r="E1095"/>
      <c r="F1095"/>
      <c r="G1095"/>
      <c r="H1095" s="11"/>
      <c r="I1095"/>
      <c r="J1095"/>
      <c r="L1095"/>
      <c r="M1095"/>
      <c r="N1095"/>
      <c r="O1095" s="59"/>
    </row>
    <row r="1096" spans="1:15" x14ac:dyDescent="0.3">
      <c r="A1096"/>
      <c r="B1096"/>
      <c r="C1096"/>
      <c r="D1096"/>
      <c r="E1096"/>
      <c r="F1096"/>
      <c r="G1096"/>
      <c r="H1096" s="11"/>
      <c r="I1096"/>
      <c r="J1096"/>
      <c r="L1096"/>
      <c r="M1096"/>
      <c r="N1096"/>
      <c r="O1096" s="59"/>
    </row>
    <row r="1097" spans="1:15" x14ac:dyDescent="0.3">
      <c r="A1097"/>
      <c r="B1097"/>
      <c r="C1097"/>
      <c r="D1097"/>
      <c r="E1097"/>
      <c r="F1097"/>
      <c r="G1097"/>
      <c r="H1097" s="11"/>
      <c r="I1097"/>
      <c r="J1097"/>
      <c r="L1097"/>
      <c r="M1097"/>
      <c r="N1097"/>
      <c r="O1097" s="59"/>
    </row>
    <row r="1098" spans="1:15" x14ac:dyDescent="0.3">
      <c r="A1098"/>
      <c r="B1098"/>
      <c r="C1098"/>
      <c r="D1098"/>
      <c r="E1098"/>
      <c r="F1098"/>
      <c r="G1098"/>
      <c r="H1098" s="11"/>
      <c r="I1098"/>
      <c r="J1098"/>
      <c r="L1098"/>
      <c r="M1098"/>
      <c r="N1098"/>
      <c r="O1098" s="59"/>
    </row>
    <row r="1099" spans="1:15" x14ac:dyDescent="0.3">
      <c r="A1099"/>
      <c r="B1099"/>
      <c r="C1099"/>
      <c r="D1099"/>
      <c r="E1099"/>
      <c r="F1099"/>
      <c r="G1099"/>
      <c r="H1099" s="11"/>
      <c r="I1099"/>
      <c r="J1099"/>
      <c r="L1099"/>
      <c r="M1099"/>
      <c r="N1099"/>
      <c r="O1099" s="59"/>
    </row>
    <row r="1100" spans="1:15" x14ac:dyDescent="0.3">
      <c r="A1100"/>
      <c r="B1100"/>
      <c r="C1100"/>
      <c r="D1100"/>
      <c r="E1100"/>
      <c r="F1100"/>
      <c r="G1100"/>
      <c r="H1100" s="11"/>
      <c r="I1100"/>
      <c r="J1100"/>
      <c r="L1100"/>
      <c r="M1100"/>
      <c r="N1100"/>
      <c r="O1100" s="59"/>
    </row>
    <row r="1101" spans="1:15" x14ac:dyDescent="0.3">
      <c r="A1101"/>
      <c r="B1101"/>
      <c r="C1101"/>
      <c r="D1101"/>
      <c r="E1101"/>
      <c r="F1101"/>
      <c r="G1101"/>
      <c r="H1101" s="11"/>
      <c r="I1101"/>
      <c r="J1101"/>
      <c r="L1101"/>
      <c r="M1101"/>
      <c r="N1101"/>
      <c r="O1101" s="59"/>
    </row>
    <row r="1102" spans="1:15" x14ac:dyDescent="0.3">
      <c r="A1102"/>
      <c r="B1102"/>
      <c r="C1102"/>
      <c r="D1102"/>
      <c r="E1102"/>
      <c r="F1102"/>
      <c r="G1102"/>
      <c r="H1102" s="11"/>
      <c r="I1102"/>
      <c r="J1102"/>
      <c r="L1102"/>
      <c r="M1102"/>
      <c r="N1102"/>
      <c r="O1102" s="59"/>
    </row>
    <row r="1103" spans="1:15" x14ac:dyDescent="0.3">
      <c r="A1103"/>
      <c r="B1103"/>
      <c r="C1103"/>
      <c r="D1103"/>
      <c r="E1103"/>
      <c r="F1103"/>
      <c r="G1103"/>
      <c r="H1103" s="11"/>
      <c r="I1103"/>
      <c r="J1103"/>
      <c r="L1103"/>
      <c r="M1103"/>
      <c r="N1103"/>
      <c r="O1103" s="59"/>
    </row>
    <row r="1104" spans="1:15" x14ac:dyDescent="0.3">
      <c r="A1104"/>
      <c r="B1104"/>
      <c r="C1104"/>
      <c r="D1104"/>
      <c r="E1104"/>
      <c r="F1104"/>
      <c r="G1104"/>
      <c r="H1104" s="11"/>
      <c r="I1104"/>
      <c r="J1104"/>
      <c r="L1104"/>
      <c r="M1104"/>
      <c r="N1104"/>
      <c r="O1104" s="59"/>
    </row>
    <row r="1105" spans="1:15" x14ac:dyDescent="0.3">
      <c r="A1105"/>
      <c r="B1105"/>
      <c r="C1105"/>
      <c r="D1105"/>
      <c r="E1105"/>
      <c r="F1105"/>
      <c r="G1105"/>
      <c r="H1105" s="11"/>
      <c r="I1105"/>
      <c r="J1105"/>
      <c r="L1105"/>
      <c r="M1105"/>
      <c r="N1105"/>
      <c r="O1105" s="59"/>
    </row>
    <row r="1106" spans="1:15" x14ac:dyDescent="0.3">
      <c r="A1106"/>
      <c r="B1106"/>
      <c r="C1106"/>
      <c r="D1106"/>
      <c r="E1106"/>
      <c r="F1106"/>
      <c r="G1106"/>
      <c r="H1106" s="11"/>
      <c r="I1106"/>
      <c r="J1106"/>
      <c r="L1106"/>
      <c r="M1106"/>
      <c r="N1106"/>
      <c r="O1106" s="59"/>
    </row>
    <row r="1107" spans="1:15" x14ac:dyDescent="0.3">
      <c r="A1107"/>
      <c r="B1107"/>
      <c r="C1107"/>
      <c r="D1107"/>
      <c r="E1107"/>
      <c r="F1107"/>
      <c r="G1107"/>
      <c r="H1107" s="11"/>
      <c r="I1107"/>
      <c r="J1107"/>
      <c r="L1107"/>
      <c r="M1107"/>
      <c r="N1107"/>
      <c r="O1107" s="59"/>
    </row>
    <row r="1108" spans="1:15" x14ac:dyDescent="0.3">
      <c r="A1108"/>
      <c r="B1108"/>
      <c r="C1108"/>
      <c r="D1108"/>
      <c r="E1108"/>
      <c r="F1108"/>
      <c r="G1108"/>
      <c r="H1108" s="11"/>
      <c r="I1108"/>
      <c r="J1108"/>
      <c r="L1108"/>
      <c r="M1108"/>
      <c r="N1108"/>
      <c r="O1108" s="59"/>
    </row>
    <row r="1109" spans="1:15" x14ac:dyDescent="0.3">
      <c r="A1109"/>
      <c r="B1109"/>
      <c r="C1109"/>
      <c r="D1109"/>
      <c r="E1109"/>
      <c r="F1109"/>
      <c r="G1109"/>
      <c r="H1109" s="11"/>
      <c r="I1109"/>
      <c r="J1109"/>
      <c r="L1109"/>
      <c r="M1109"/>
      <c r="N1109"/>
      <c r="O1109" s="59"/>
    </row>
    <row r="1110" spans="1:15" x14ac:dyDescent="0.3">
      <c r="A1110"/>
      <c r="B1110"/>
      <c r="C1110"/>
      <c r="D1110"/>
      <c r="E1110"/>
      <c r="F1110"/>
      <c r="G1110"/>
      <c r="H1110" s="11"/>
      <c r="I1110"/>
      <c r="J1110"/>
      <c r="L1110"/>
      <c r="M1110"/>
      <c r="N1110"/>
      <c r="O1110" s="59"/>
    </row>
    <row r="1111" spans="1:15" x14ac:dyDescent="0.3">
      <c r="A1111"/>
      <c r="B1111"/>
      <c r="C1111"/>
      <c r="D1111"/>
      <c r="E1111"/>
      <c r="F1111"/>
      <c r="G1111"/>
      <c r="H1111" s="11"/>
      <c r="I1111"/>
      <c r="J1111"/>
      <c r="L1111"/>
      <c r="M1111"/>
      <c r="N1111"/>
      <c r="O1111" s="59"/>
    </row>
    <row r="1112" spans="1:15" x14ac:dyDescent="0.3">
      <c r="A1112"/>
      <c r="B1112"/>
      <c r="C1112"/>
      <c r="D1112"/>
      <c r="E1112"/>
      <c r="F1112"/>
      <c r="G1112"/>
      <c r="H1112" s="11"/>
      <c r="I1112"/>
      <c r="J1112"/>
      <c r="L1112"/>
      <c r="M1112"/>
      <c r="N1112"/>
      <c r="O1112" s="59"/>
    </row>
    <row r="1113" spans="1:15" x14ac:dyDescent="0.3">
      <c r="A1113"/>
      <c r="B1113"/>
      <c r="C1113"/>
      <c r="D1113"/>
      <c r="E1113"/>
      <c r="F1113"/>
      <c r="G1113"/>
      <c r="H1113" s="11"/>
      <c r="I1113"/>
      <c r="J1113"/>
      <c r="L1113"/>
      <c r="M1113"/>
      <c r="N1113"/>
      <c r="O1113" s="59"/>
    </row>
    <row r="1114" spans="1:15" x14ac:dyDescent="0.3">
      <c r="A1114"/>
      <c r="B1114"/>
      <c r="C1114"/>
      <c r="D1114"/>
      <c r="E1114"/>
      <c r="F1114"/>
      <c r="G1114"/>
      <c r="H1114" s="11"/>
      <c r="I1114"/>
      <c r="J1114"/>
      <c r="L1114"/>
      <c r="M1114"/>
      <c r="N1114"/>
      <c r="O1114" s="59"/>
    </row>
    <row r="1115" spans="1:15" x14ac:dyDescent="0.3">
      <c r="A1115"/>
      <c r="B1115"/>
      <c r="C1115"/>
      <c r="D1115"/>
      <c r="E1115"/>
      <c r="F1115"/>
      <c r="G1115"/>
      <c r="H1115" s="11"/>
      <c r="I1115"/>
      <c r="J1115"/>
      <c r="L1115"/>
      <c r="M1115"/>
      <c r="N1115"/>
      <c r="O1115" s="59"/>
    </row>
    <row r="1116" spans="1:15" x14ac:dyDescent="0.3">
      <c r="A1116"/>
      <c r="B1116"/>
      <c r="C1116"/>
      <c r="D1116"/>
      <c r="E1116"/>
      <c r="F1116"/>
      <c r="G1116"/>
      <c r="H1116" s="11"/>
      <c r="I1116"/>
      <c r="J1116"/>
      <c r="L1116"/>
      <c r="M1116"/>
      <c r="N1116"/>
      <c r="O1116" s="59"/>
    </row>
    <row r="1117" spans="1:15" x14ac:dyDescent="0.3">
      <c r="A1117"/>
      <c r="B1117"/>
      <c r="C1117"/>
      <c r="D1117"/>
      <c r="E1117"/>
      <c r="F1117"/>
      <c r="G1117"/>
      <c r="H1117" s="11"/>
      <c r="I1117"/>
      <c r="J1117"/>
      <c r="L1117"/>
      <c r="M1117"/>
      <c r="N1117"/>
      <c r="O1117" s="59"/>
    </row>
    <row r="1118" spans="1:15" x14ac:dyDescent="0.3">
      <c r="A1118"/>
      <c r="B1118"/>
      <c r="C1118"/>
      <c r="D1118"/>
      <c r="E1118"/>
      <c r="F1118"/>
      <c r="G1118"/>
      <c r="H1118" s="11"/>
      <c r="I1118"/>
      <c r="J1118"/>
      <c r="L1118"/>
      <c r="M1118"/>
      <c r="N1118"/>
      <c r="O1118" s="59"/>
    </row>
    <row r="1119" spans="1:15" x14ac:dyDescent="0.3">
      <c r="A1119"/>
      <c r="B1119"/>
      <c r="C1119"/>
      <c r="D1119"/>
      <c r="E1119"/>
      <c r="F1119"/>
      <c r="G1119"/>
      <c r="H1119" s="11"/>
      <c r="I1119"/>
      <c r="J1119"/>
      <c r="L1119"/>
      <c r="M1119"/>
      <c r="N1119"/>
      <c r="O1119" s="59"/>
    </row>
    <row r="1120" spans="1:15" x14ac:dyDescent="0.3">
      <c r="A1120"/>
      <c r="B1120"/>
      <c r="C1120"/>
      <c r="D1120"/>
      <c r="E1120"/>
      <c r="F1120"/>
      <c r="G1120"/>
      <c r="H1120" s="11"/>
      <c r="I1120"/>
      <c r="J1120"/>
      <c r="L1120"/>
      <c r="M1120"/>
      <c r="N1120"/>
      <c r="O1120" s="59"/>
    </row>
    <row r="1121" spans="1:15" x14ac:dyDescent="0.3">
      <c r="A1121"/>
      <c r="B1121"/>
      <c r="C1121"/>
      <c r="D1121"/>
      <c r="E1121"/>
      <c r="F1121"/>
      <c r="G1121"/>
      <c r="H1121" s="11"/>
      <c r="I1121"/>
      <c r="J1121"/>
      <c r="L1121"/>
      <c r="M1121"/>
      <c r="N1121"/>
      <c r="O1121" s="59"/>
    </row>
    <row r="1122" spans="1:15" x14ac:dyDescent="0.3">
      <c r="A1122"/>
      <c r="B1122"/>
      <c r="C1122"/>
      <c r="D1122"/>
      <c r="E1122"/>
      <c r="F1122"/>
      <c r="G1122"/>
      <c r="H1122" s="11"/>
      <c r="I1122"/>
      <c r="J1122"/>
      <c r="L1122"/>
      <c r="M1122"/>
      <c r="N1122"/>
      <c r="O1122" s="59"/>
    </row>
    <row r="1123" spans="1:15" x14ac:dyDescent="0.3">
      <c r="A1123"/>
      <c r="B1123"/>
      <c r="C1123"/>
      <c r="D1123"/>
      <c r="E1123"/>
      <c r="F1123"/>
      <c r="G1123"/>
      <c r="H1123" s="11"/>
      <c r="I1123"/>
      <c r="J1123"/>
      <c r="L1123"/>
      <c r="M1123"/>
      <c r="N1123"/>
      <c r="O1123" s="59"/>
    </row>
    <row r="1124" spans="1:15" x14ac:dyDescent="0.3">
      <c r="A1124"/>
      <c r="B1124"/>
      <c r="C1124"/>
      <c r="D1124"/>
      <c r="E1124"/>
      <c r="F1124"/>
      <c r="G1124"/>
      <c r="H1124" s="11"/>
      <c r="I1124"/>
      <c r="J1124"/>
      <c r="L1124"/>
      <c r="M1124"/>
      <c r="N1124"/>
      <c r="O1124" s="59"/>
    </row>
    <row r="1125" spans="1:15" x14ac:dyDescent="0.3">
      <c r="A1125"/>
      <c r="B1125"/>
      <c r="C1125"/>
      <c r="D1125"/>
      <c r="E1125"/>
      <c r="F1125"/>
      <c r="G1125"/>
      <c r="H1125" s="11"/>
      <c r="I1125"/>
      <c r="J1125"/>
      <c r="L1125"/>
      <c r="M1125"/>
      <c r="N1125"/>
      <c r="O1125" s="59"/>
    </row>
    <row r="1126" spans="1:15" x14ac:dyDescent="0.3">
      <c r="A1126"/>
      <c r="B1126"/>
      <c r="C1126"/>
      <c r="D1126"/>
      <c r="E1126"/>
      <c r="F1126"/>
      <c r="G1126"/>
      <c r="H1126" s="11"/>
      <c r="I1126"/>
      <c r="J1126"/>
      <c r="L1126"/>
      <c r="M1126"/>
      <c r="N1126"/>
      <c r="O1126" s="59"/>
    </row>
    <row r="1127" spans="1:15" x14ac:dyDescent="0.3">
      <c r="A1127"/>
      <c r="B1127"/>
      <c r="C1127"/>
      <c r="D1127"/>
      <c r="E1127"/>
      <c r="F1127"/>
      <c r="G1127"/>
      <c r="H1127" s="11"/>
      <c r="I1127"/>
      <c r="J1127"/>
      <c r="L1127"/>
      <c r="M1127"/>
      <c r="N1127"/>
      <c r="O1127" s="59"/>
    </row>
    <row r="1128" spans="1:15" x14ac:dyDescent="0.3">
      <c r="A1128"/>
      <c r="B1128"/>
      <c r="C1128"/>
      <c r="D1128"/>
      <c r="E1128"/>
      <c r="F1128"/>
      <c r="G1128"/>
      <c r="H1128" s="11"/>
      <c r="I1128"/>
      <c r="J1128"/>
      <c r="L1128"/>
      <c r="M1128"/>
      <c r="N1128"/>
      <c r="O1128" s="59"/>
    </row>
    <row r="1129" spans="1:15" x14ac:dyDescent="0.3">
      <c r="A1129"/>
      <c r="B1129"/>
      <c r="C1129"/>
      <c r="D1129"/>
      <c r="E1129"/>
      <c r="F1129"/>
      <c r="G1129"/>
      <c r="H1129" s="11"/>
      <c r="I1129"/>
      <c r="J1129"/>
      <c r="L1129"/>
      <c r="M1129"/>
      <c r="N1129"/>
      <c r="O1129" s="59"/>
    </row>
    <row r="1130" spans="1:15" x14ac:dyDescent="0.3">
      <c r="A1130"/>
      <c r="B1130"/>
      <c r="C1130"/>
      <c r="D1130"/>
      <c r="E1130"/>
      <c r="F1130"/>
      <c r="G1130"/>
      <c r="H1130" s="11"/>
      <c r="I1130"/>
      <c r="J1130"/>
      <c r="L1130"/>
      <c r="M1130"/>
      <c r="N1130"/>
      <c r="O1130" s="59"/>
    </row>
    <row r="1131" spans="1:15" x14ac:dyDescent="0.3">
      <c r="A1131"/>
      <c r="B1131"/>
      <c r="C1131"/>
      <c r="D1131"/>
      <c r="E1131"/>
      <c r="F1131"/>
      <c r="G1131"/>
      <c r="H1131" s="11"/>
      <c r="I1131"/>
      <c r="J1131"/>
      <c r="L1131"/>
      <c r="M1131"/>
      <c r="N1131"/>
      <c r="O1131" s="59"/>
    </row>
    <row r="1132" spans="1:15" x14ac:dyDescent="0.3">
      <c r="A1132"/>
      <c r="B1132"/>
      <c r="C1132"/>
      <c r="D1132"/>
      <c r="E1132"/>
      <c r="F1132"/>
      <c r="G1132"/>
      <c r="H1132" s="11"/>
      <c r="I1132"/>
      <c r="J1132"/>
      <c r="L1132"/>
      <c r="M1132"/>
      <c r="N1132"/>
      <c r="O1132" s="59"/>
    </row>
    <row r="1133" spans="1:15" x14ac:dyDescent="0.3">
      <c r="A1133"/>
      <c r="B1133"/>
      <c r="C1133"/>
      <c r="D1133"/>
      <c r="E1133"/>
      <c r="F1133"/>
      <c r="G1133"/>
      <c r="H1133" s="11"/>
      <c r="I1133"/>
      <c r="J1133"/>
      <c r="L1133"/>
      <c r="M1133"/>
      <c r="N1133"/>
      <c r="O1133" s="59"/>
    </row>
    <row r="1134" spans="1:15" x14ac:dyDescent="0.3">
      <c r="A1134"/>
      <c r="B1134"/>
      <c r="C1134"/>
      <c r="D1134"/>
      <c r="E1134"/>
      <c r="F1134"/>
      <c r="G1134"/>
      <c r="H1134" s="11"/>
      <c r="I1134"/>
      <c r="J1134"/>
      <c r="L1134"/>
      <c r="M1134"/>
      <c r="N1134"/>
      <c r="O1134" s="59"/>
    </row>
    <row r="1135" spans="1:15" x14ac:dyDescent="0.3">
      <c r="A1135"/>
      <c r="B1135"/>
      <c r="C1135"/>
      <c r="D1135"/>
      <c r="E1135"/>
      <c r="F1135"/>
      <c r="G1135"/>
      <c r="H1135" s="11"/>
      <c r="I1135"/>
      <c r="J1135"/>
      <c r="L1135"/>
      <c r="M1135"/>
      <c r="N1135"/>
      <c r="O1135" s="59"/>
    </row>
    <row r="1136" spans="1:15" x14ac:dyDescent="0.3">
      <c r="A1136"/>
      <c r="B1136"/>
      <c r="C1136"/>
      <c r="D1136"/>
      <c r="E1136"/>
      <c r="F1136"/>
      <c r="G1136"/>
      <c r="H1136" s="11"/>
      <c r="I1136"/>
      <c r="J1136"/>
      <c r="L1136"/>
      <c r="M1136"/>
      <c r="N1136"/>
      <c r="O1136" s="59"/>
    </row>
    <row r="1137" spans="1:15" x14ac:dyDescent="0.3">
      <c r="A1137"/>
      <c r="B1137"/>
      <c r="C1137"/>
      <c r="D1137"/>
      <c r="E1137"/>
      <c r="F1137"/>
      <c r="G1137"/>
      <c r="H1137" s="11"/>
      <c r="I1137"/>
      <c r="J1137"/>
      <c r="L1137"/>
      <c r="M1137"/>
      <c r="N1137"/>
      <c r="O1137" s="59"/>
    </row>
    <row r="1138" spans="1:15" x14ac:dyDescent="0.3">
      <c r="A1138"/>
      <c r="B1138"/>
      <c r="C1138"/>
      <c r="D1138"/>
      <c r="E1138"/>
      <c r="F1138"/>
      <c r="G1138"/>
      <c r="H1138" s="11"/>
      <c r="I1138"/>
      <c r="J1138"/>
      <c r="L1138"/>
      <c r="M1138"/>
      <c r="N1138"/>
      <c r="O1138" s="59"/>
    </row>
    <row r="1139" spans="1:15" x14ac:dyDescent="0.3">
      <c r="A1139"/>
      <c r="B1139"/>
      <c r="C1139"/>
      <c r="D1139"/>
      <c r="E1139"/>
      <c r="F1139"/>
      <c r="G1139"/>
      <c r="H1139" s="11"/>
      <c r="I1139"/>
      <c r="J1139"/>
      <c r="L1139"/>
      <c r="M1139"/>
      <c r="N1139"/>
      <c r="O1139" s="59"/>
    </row>
    <row r="1140" spans="1:15" x14ac:dyDescent="0.3">
      <c r="A1140"/>
      <c r="B1140"/>
      <c r="C1140"/>
      <c r="D1140"/>
      <c r="E1140"/>
      <c r="F1140"/>
      <c r="G1140"/>
      <c r="H1140" s="11"/>
      <c r="I1140"/>
      <c r="J1140"/>
      <c r="L1140"/>
      <c r="M1140"/>
      <c r="N1140"/>
      <c r="O1140" s="59"/>
    </row>
    <row r="1141" spans="1:15" x14ac:dyDescent="0.3">
      <c r="A1141"/>
      <c r="B1141"/>
      <c r="C1141"/>
      <c r="D1141"/>
      <c r="E1141"/>
      <c r="F1141"/>
      <c r="G1141"/>
      <c r="H1141" s="11"/>
      <c r="I1141"/>
      <c r="J1141"/>
      <c r="L1141"/>
      <c r="M1141"/>
      <c r="N1141"/>
      <c r="O1141" s="59"/>
    </row>
    <row r="1142" spans="1:15" x14ac:dyDescent="0.3">
      <c r="A1142"/>
      <c r="B1142"/>
      <c r="C1142"/>
      <c r="D1142"/>
      <c r="E1142"/>
      <c r="F1142"/>
      <c r="G1142"/>
      <c r="H1142" s="11"/>
      <c r="I1142"/>
      <c r="J1142"/>
      <c r="L1142"/>
      <c r="M1142"/>
      <c r="N1142"/>
      <c r="O1142" s="59"/>
    </row>
    <row r="1143" spans="1:15" x14ac:dyDescent="0.3">
      <c r="A1143"/>
      <c r="B1143"/>
      <c r="C1143"/>
      <c r="D1143"/>
      <c r="E1143"/>
      <c r="F1143"/>
      <c r="G1143"/>
      <c r="H1143" s="11"/>
      <c r="I1143"/>
      <c r="J1143"/>
      <c r="L1143"/>
      <c r="M1143"/>
      <c r="N1143"/>
      <c r="O1143" s="59"/>
    </row>
    <row r="1144" spans="1:15" x14ac:dyDescent="0.3">
      <c r="A1144"/>
      <c r="B1144"/>
      <c r="C1144"/>
      <c r="D1144"/>
      <c r="E1144"/>
      <c r="F1144"/>
      <c r="G1144"/>
      <c r="H1144" s="11"/>
      <c r="I1144"/>
      <c r="J1144"/>
      <c r="L1144"/>
      <c r="M1144"/>
      <c r="N1144"/>
      <c r="O1144" s="59"/>
    </row>
    <row r="1145" spans="1:15" x14ac:dyDescent="0.3">
      <c r="A1145"/>
      <c r="B1145"/>
      <c r="C1145"/>
      <c r="D1145"/>
      <c r="E1145"/>
      <c r="F1145"/>
      <c r="G1145"/>
      <c r="H1145" s="11"/>
      <c r="I1145"/>
      <c r="J1145"/>
      <c r="L1145"/>
      <c r="M1145"/>
      <c r="N1145"/>
      <c r="O1145" s="59"/>
    </row>
    <row r="1146" spans="1:15" x14ac:dyDescent="0.3">
      <c r="A1146"/>
      <c r="B1146"/>
      <c r="C1146"/>
      <c r="D1146"/>
      <c r="E1146"/>
      <c r="F1146"/>
      <c r="G1146"/>
      <c r="H1146" s="11"/>
      <c r="I1146"/>
      <c r="J1146"/>
      <c r="L1146"/>
      <c r="M1146"/>
      <c r="N1146"/>
      <c r="O1146" s="59"/>
    </row>
    <row r="1147" spans="1:15" x14ac:dyDescent="0.3">
      <c r="A1147"/>
      <c r="B1147"/>
      <c r="C1147"/>
      <c r="D1147"/>
      <c r="E1147"/>
      <c r="F1147"/>
      <c r="G1147"/>
      <c r="H1147" s="11"/>
      <c r="I1147"/>
      <c r="J1147"/>
      <c r="L1147"/>
      <c r="M1147"/>
      <c r="N1147"/>
      <c r="O1147" s="59"/>
    </row>
    <row r="1148" spans="1:15" x14ac:dyDescent="0.3">
      <c r="A1148"/>
      <c r="B1148"/>
      <c r="C1148"/>
      <c r="D1148"/>
      <c r="E1148"/>
      <c r="F1148"/>
      <c r="G1148"/>
      <c r="H1148" s="11"/>
      <c r="I1148"/>
      <c r="J1148"/>
      <c r="L1148"/>
      <c r="M1148"/>
      <c r="N1148"/>
      <c r="O1148" s="59"/>
    </row>
    <row r="1149" spans="1:15" x14ac:dyDescent="0.3">
      <c r="A1149"/>
      <c r="B1149"/>
      <c r="C1149"/>
      <c r="D1149"/>
      <c r="E1149"/>
      <c r="F1149"/>
      <c r="G1149"/>
      <c r="H1149" s="11"/>
      <c r="I1149"/>
      <c r="J1149"/>
      <c r="L1149"/>
      <c r="M1149"/>
      <c r="N1149"/>
      <c r="O1149" s="59"/>
    </row>
    <row r="1150" spans="1:15" x14ac:dyDescent="0.3">
      <c r="A1150"/>
      <c r="B1150"/>
      <c r="C1150"/>
      <c r="D1150"/>
      <c r="E1150"/>
      <c r="F1150"/>
      <c r="G1150"/>
      <c r="H1150" s="11"/>
      <c r="I1150"/>
      <c r="J1150"/>
      <c r="L1150"/>
      <c r="M1150"/>
      <c r="N1150"/>
      <c r="O1150" s="59"/>
    </row>
    <row r="1151" spans="1:15" x14ac:dyDescent="0.3">
      <c r="A1151"/>
      <c r="B1151"/>
      <c r="C1151"/>
      <c r="D1151"/>
      <c r="E1151"/>
      <c r="F1151"/>
      <c r="G1151"/>
      <c r="H1151" s="11"/>
      <c r="I1151"/>
      <c r="J1151"/>
      <c r="L1151"/>
      <c r="M1151"/>
      <c r="N1151"/>
      <c r="O1151" s="59"/>
    </row>
    <row r="1152" spans="1:15" x14ac:dyDescent="0.3">
      <c r="A1152"/>
      <c r="B1152"/>
      <c r="C1152"/>
      <c r="D1152"/>
      <c r="E1152"/>
      <c r="F1152"/>
      <c r="G1152"/>
      <c r="H1152" s="11"/>
      <c r="I1152"/>
      <c r="J1152"/>
      <c r="L1152"/>
      <c r="M1152"/>
      <c r="N1152"/>
      <c r="O1152" s="59"/>
    </row>
    <row r="1153" spans="1:15" x14ac:dyDescent="0.3">
      <c r="A1153"/>
      <c r="B1153"/>
      <c r="C1153"/>
      <c r="D1153"/>
      <c r="E1153"/>
      <c r="F1153"/>
      <c r="G1153"/>
      <c r="H1153" s="11"/>
      <c r="I1153"/>
      <c r="J1153"/>
      <c r="L1153"/>
      <c r="M1153"/>
      <c r="N1153"/>
      <c r="O1153" s="59"/>
    </row>
    <row r="1154" spans="1:15" x14ac:dyDescent="0.3">
      <c r="A1154"/>
      <c r="B1154"/>
      <c r="C1154"/>
      <c r="D1154"/>
      <c r="E1154"/>
      <c r="F1154"/>
      <c r="G1154"/>
      <c r="H1154" s="11"/>
      <c r="I1154"/>
      <c r="J1154"/>
      <c r="L1154"/>
      <c r="M1154"/>
      <c r="N1154"/>
      <c r="O1154" s="59"/>
    </row>
    <row r="1155" spans="1:15" x14ac:dyDescent="0.3">
      <c r="A1155"/>
      <c r="B1155"/>
      <c r="C1155"/>
      <c r="D1155"/>
      <c r="E1155"/>
      <c r="F1155"/>
      <c r="G1155"/>
      <c r="H1155" s="11"/>
      <c r="I1155"/>
      <c r="J1155"/>
      <c r="L1155"/>
      <c r="M1155"/>
      <c r="N1155"/>
      <c r="O1155" s="59"/>
    </row>
    <row r="1156" spans="1:15" x14ac:dyDescent="0.3">
      <c r="A1156"/>
      <c r="B1156"/>
      <c r="C1156"/>
      <c r="D1156"/>
      <c r="E1156"/>
      <c r="F1156"/>
      <c r="G1156"/>
      <c r="H1156" s="11"/>
      <c r="I1156"/>
      <c r="J1156"/>
      <c r="L1156"/>
      <c r="M1156"/>
      <c r="N1156"/>
      <c r="O1156" s="59"/>
    </row>
    <row r="1157" spans="1:15" x14ac:dyDescent="0.3">
      <c r="A1157"/>
      <c r="B1157"/>
      <c r="C1157"/>
      <c r="D1157"/>
      <c r="E1157"/>
      <c r="F1157"/>
      <c r="G1157"/>
      <c r="H1157" s="11"/>
      <c r="I1157"/>
      <c r="J1157"/>
      <c r="L1157"/>
      <c r="M1157"/>
      <c r="N1157"/>
      <c r="O1157" s="59"/>
    </row>
    <row r="1158" spans="1:15" x14ac:dyDescent="0.3">
      <c r="A1158"/>
      <c r="B1158"/>
      <c r="C1158"/>
      <c r="D1158"/>
      <c r="E1158"/>
      <c r="F1158"/>
      <c r="G1158"/>
      <c r="H1158" s="11"/>
      <c r="I1158"/>
      <c r="J1158"/>
      <c r="L1158"/>
      <c r="M1158"/>
      <c r="N1158"/>
      <c r="O1158" s="59"/>
    </row>
    <row r="1159" spans="1:15" x14ac:dyDescent="0.3">
      <c r="A1159"/>
      <c r="B1159"/>
      <c r="C1159"/>
      <c r="D1159"/>
      <c r="E1159"/>
      <c r="F1159"/>
      <c r="G1159"/>
      <c r="H1159" s="11"/>
      <c r="I1159"/>
      <c r="J1159"/>
      <c r="L1159"/>
      <c r="M1159"/>
      <c r="N1159"/>
      <c r="O1159" s="59"/>
    </row>
    <row r="1160" spans="1:15" x14ac:dyDescent="0.3">
      <c r="A1160"/>
      <c r="B1160"/>
      <c r="C1160"/>
      <c r="D1160"/>
      <c r="E1160"/>
      <c r="F1160"/>
      <c r="G1160"/>
      <c r="H1160" s="11"/>
      <c r="I1160"/>
      <c r="J1160"/>
      <c r="L1160"/>
      <c r="M1160"/>
      <c r="N1160"/>
      <c r="O1160" s="59"/>
    </row>
    <row r="1161" spans="1:15" x14ac:dyDescent="0.3">
      <c r="A1161"/>
      <c r="B1161"/>
      <c r="C1161"/>
      <c r="D1161"/>
      <c r="E1161"/>
      <c r="F1161"/>
      <c r="G1161"/>
      <c r="H1161" s="11"/>
      <c r="I1161"/>
      <c r="J1161"/>
      <c r="L1161"/>
      <c r="M1161"/>
      <c r="N1161"/>
      <c r="O1161" s="59"/>
    </row>
    <row r="1162" spans="1:15" x14ac:dyDescent="0.3">
      <c r="A1162"/>
      <c r="B1162"/>
      <c r="C1162"/>
      <c r="D1162"/>
      <c r="E1162"/>
      <c r="F1162"/>
      <c r="G1162"/>
      <c r="H1162" s="11"/>
      <c r="I1162"/>
      <c r="J1162"/>
      <c r="L1162"/>
      <c r="M1162"/>
      <c r="N1162"/>
      <c r="O1162" s="59"/>
    </row>
    <row r="1163" spans="1:15" x14ac:dyDescent="0.3">
      <c r="A1163"/>
      <c r="B1163"/>
      <c r="C1163"/>
      <c r="D1163"/>
      <c r="E1163"/>
      <c r="F1163"/>
      <c r="G1163"/>
      <c r="H1163" s="11"/>
      <c r="I1163"/>
      <c r="J1163"/>
      <c r="L1163"/>
      <c r="M1163"/>
      <c r="N1163"/>
      <c r="O1163" s="59"/>
    </row>
    <row r="1164" spans="1:15" x14ac:dyDescent="0.3">
      <c r="A1164"/>
      <c r="B1164"/>
      <c r="C1164"/>
      <c r="D1164"/>
      <c r="E1164"/>
      <c r="F1164"/>
      <c r="G1164"/>
      <c r="H1164" s="11"/>
      <c r="I1164"/>
      <c r="J1164"/>
      <c r="L1164"/>
      <c r="M1164"/>
      <c r="N1164"/>
      <c r="O1164" s="59"/>
    </row>
    <row r="1165" spans="1:15" x14ac:dyDescent="0.3">
      <c r="A1165"/>
      <c r="B1165"/>
      <c r="C1165"/>
      <c r="D1165"/>
      <c r="E1165"/>
      <c r="F1165"/>
      <c r="G1165"/>
      <c r="H1165" s="11"/>
      <c r="I1165"/>
      <c r="J1165"/>
      <c r="L1165"/>
      <c r="M1165"/>
      <c r="N1165"/>
      <c r="O1165" s="59"/>
    </row>
    <row r="1166" spans="1:15" x14ac:dyDescent="0.3">
      <c r="A1166"/>
      <c r="B1166"/>
      <c r="C1166"/>
      <c r="D1166"/>
      <c r="E1166"/>
      <c r="F1166"/>
      <c r="G1166"/>
      <c r="H1166" s="11"/>
      <c r="I1166"/>
      <c r="J1166"/>
      <c r="L1166"/>
      <c r="M1166"/>
      <c r="N1166"/>
      <c r="O1166" s="59"/>
    </row>
    <row r="1167" spans="1:15" x14ac:dyDescent="0.3">
      <c r="A1167"/>
      <c r="B1167"/>
      <c r="C1167"/>
      <c r="D1167"/>
      <c r="E1167"/>
      <c r="F1167"/>
      <c r="G1167"/>
      <c r="H1167" s="11"/>
      <c r="I1167"/>
      <c r="J1167"/>
      <c r="L1167"/>
      <c r="M1167"/>
      <c r="N1167"/>
      <c r="O1167" s="59"/>
    </row>
    <row r="1168" spans="1:15" x14ac:dyDescent="0.3">
      <c r="A1168"/>
      <c r="B1168"/>
      <c r="C1168"/>
      <c r="D1168"/>
      <c r="E1168"/>
      <c r="F1168"/>
      <c r="G1168"/>
      <c r="H1168" s="11"/>
      <c r="I1168"/>
      <c r="J1168"/>
      <c r="L1168"/>
      <c r="M1168"/>
      <c r="N1168"/>
      <c r="O1168" s="59"/>
    </row>
    <row r="1169" spans="1:15" x14ac:dyDescent="0.3">
      <c r="A1169"/>
      <c r="B1169"/>
      <c r="C1169"/>
      <c r="D1169"/>
      <c r="E1169"/>
      <c r="F1169"/>
      <c r="G1169"/>
      <c r="H1169" s="11"/>
      <c r="I1169"/>
      <c r="J1169"/>
      <c r="L1169"/>
      <c r="M1169"/>
      <c r="N1169"/>
      <c r="O1169" s="59"/>
    </row>
    <row r="1170" spans="1:15" x14ac:dyDescent="0.3">
      <c r="A1170"/>
      <c r="B1170"/>
      <c r="C1170"/>
      <c r="D1170"/>
      <c r="E1170"/>
      <c r="F1170"/>
      <c r="G1170"/>
      <c r="H1170" s="11"/>
      <c r="I1170"/>
      <c r="J1170"/>
      <c r="L1170"/>
      <c r="M1170"/>
      <c r="N1170"/>
      <c r="O1170" s="59"/>
    </row>
    <row r="1171" spans="1:15" x14ac:dyDescent="0.3">
      <c r="A1171"/>
      <c r="B1171"/>
      <c r="C1171"/>
      <c r="D1171"/>
      <c r="E1171"/>
      <c r="F1171"/>
      <c r="G1171"/>
      <c r="H1171" s="11"/>
      <c r="I1171"/>
      <c r="J1171"/>
      <c r="L1171"/>
      <c r="M1171"/>
      <c r="N1171"/>
      <c r="O1171" s="59"/>
    </row>
    <row r="1172" spans="1:15" x14ac:dyDescent="0.3">
      <c r="A1172"/>
      <c r="B1172"/>
      <c r="C1172"/>
      <c r="D1172"/>
      <c r="E1172"/>
      <c r="F1172"/>
      <c r="G1172"/>
      <c r="H1172" s="11"/>
      <c r="I1172"/>
      <c r="J1172"/>
      <c r="L1172"/>
      <c r="M1172"/>
      <c r="N1172"/>
      <c r="O1172" s="59"/>
    </row>
    <row r="1173" spans="1:15" x14ac:dyDescent="0.3">
      <c r="A1173"/>
      <c r="B1173"/>
      <c r="C1173"/>
      <c r="D1173"/>
      <c r="E1173"/>
      <c r="F1173"/>
      <c r="G1173"/>
      <c r="H1173" s="11"/>
      <c r="I1173"/>
      <c r="J1173"/>
      <c r="L1173"/>
      <c r="M1173"/>
      <c r="N1173"/>
      <c r="O1173" s="59"/>
    </row>
    <row r="1174" spans="1:15" x14ac:dyDescent="0.3">
      <c r="A1174"/>
      <c r="B1174"/>
      <c r="C1174"/>
      <c r="D1174"/>
      <c r="E1174"/>
      <c r="F1174"/>
      <c r="G1174"/>
      <c r="H1174" s="11"/>
      <c r="I1174"/>
      <c r="J1174"/>
      <c r="L1174"/>
      <c r="M1174"/>
      <c r="N1174"/>
      <c r="O1174" s="59"/>
    </row>
    <row r="1175" spans="1:15" x14ac:dyDescent="0.3">
      <c r="A1175"/>
      <c r="B1175"/>
      <c r="C1175"/>
      <c r="D1175"/>
      <c r="E1175"/>
      <c r="F1175"/>
      <c r="G1175"/>
      <c r="H1175" s="11"/>
      <c r="I1175"/>
      <c r="J1175"/>
      <c r="L1175"/>
      <c r="M1175"/>
      <c r="N1175"/>
      <c r="O1175" s="59"/>
    </row>
    <row r="1176" spans="1:15" x14ac:dyDescent="0.3">
      <c r="A1176"/>
      <c r="B1176"/>
      <c r="C1176"/>
      <c r="D1176"/>
      <c r="E1176"/>
      <c r="F1176"/>
      <c r="G1176"/>
      <c r="H1176" s="11"/>
      <c r="I1176"/>
      <c r="J1176"/>
      <c r="L1176"/>
      <c r="M1176"/>
      <c r="N1176"/>
      <c r="O1176" s="59"/>
    </row>
    <row r="1177" spans="1:15" x14ac:dyDescent="0.3">
      <c r="A1177"/>
      <c r="B1177"/>
      <c r="C1177"/>
      <c r="D1177"/>
      <c r="E1177"/>
      <c r="F1177"/>
      <c r="G1177"/>
      <c r="H1177" s="11"/>
      <c r="I1177"/>
      <c r="J1177"/>
      <c r="L1177"/>
      <c r="M1177"/>
      <c r="N1177"/>
      <c r="O1177" s="59"/>
    </row>
    <row r="1178" spans="1:15" x14ac:dyDescent="0.3">
      <c r="A1178"/>
      <c r="B1178"/>
      <c r="C1178"/>
      <c r="D1178"/>
      <c r="E1178"/>
      <c r="F1178"/>
      <c r="G1178"/>
      <c r="H1178" s="11"/>
      <c r="I1178"/>
      <c r="J1178"/>
      <c r="L1178"/>
      <c r="M1178"/>
      <c r="N1178"/>
      <c r="O1178" s="59"/>
    </row>
    <row r="1179" spans="1:15" x14ac:dyDescent="0.3">
      <c r="A1179"/>
      <c r="B1179"/>
      <c r="C1179"/>
      <c r="D1179"/>
      <c r="E1179"/>
      <c r="F1179"/>
      <c r="G1179"/>
      <c r="H1179" s="11"/>
      <c r="I1179"/>
      <c r="J1179"/>
      <c r="L1179"/>
      <c r="M1179"/>
      <c r="N1179"/>
      <c r="O1179" s="59"/>
    </row>
    <row r="1180" spans="1:15" x14ac:dyDescent="0.3">
      <c r="A1180"/>
      <c r="B1180"/>
      <c r="C1180"/>
      <c r="D1180"/>
      <c r="E1180"/>
      <c r="F1180"/>
      <c r="G1180"/>
      <c r="H1180" s="11"/>
      <c r="I1180"/>
      <c r="J1180"/>
      <c r="L1180"/>
      <c r="M1180"/>
      <c r="N1180"/>
      <c r="O1180" s="59"/>
    </row>
    <row r="1181" spans="1:15" x14ac:dyDescent="0.3">
      <c r="A1181"/>
      <c r="B1181"/>
      <c r="C1181"/>
      <c r="D1181"/>
      <c r="E1181"/>
      <c r="F1181"/>
      <c r="G1181"/>
      <c r="H1181" s="11"/>
      <c r="I1181"/>
      <c r="J1181"/>
      <c r="L1181"/>
      <c r="M1181"/>
      <c r="N1181"/>
      <c r="O1181" s="59"/>
    </row>
    <row r="1182" spans="1:15" x14ac:dyDescent="0.3">
      <c r="A1182"/>
      <c r="B1182"/>
      <c r="C1182"/>
      <c r="D1182"/>
      <c r="E1182"/>
      <c r="F1182"/>
      <c r="G1182"/>
      <c r="H1182" s="11"/>
      <c r="I1182"/>
      <c r="J1182"/>
      <c r="L1182"/>
      <c r="M1182"/>
      <c r="N1182"/>
      <c r="O1182" s="59"/>
    </row>
    <row r="1183" spans="1:15" x14ac:dyDescent="0.3">
      <c r="A1183"/>
      <c r="B1183"/>
      <c r="C1183"/>
      <c r="D1183"/>
      <c r="E1183"/>
      <c r="F1183"/>
      <c r="G1183"/>
      <c r="H1183" s="11"/>
      <c r="I1183"/>
      <c r="J1183"/>
      <c r="L1183"/>
      <c r="M1183"/>
      <c r="N1183"/>
      <c r="O1183" s="59"/>
    </row>
    <row r="1184" spans="1:15" x14ac:dyDescent="0.3">
      <c r="A1184"/>
      <c r="B1184"/>
      <c r="C1184"/>
      <c r="D1184"/>
      <c r="E1184"/>
      <c r="F1184"/>
      <c r="G1184"/>
      <c r="H1184" s="11"/>
      <c r="I1184"/>
      <c r="J1184"/>
      <c r="L1184"/>
      <c r="M1184"/>
      <c r="N1184"/>
      <c r="O1184" s="59"/>
    </row>
    <row r="1185" spans="1:15" x14ac:dyDescent="0.3">
      <c r="A1185"/>
      <c r="B1185"/>
      <c r="C1185"/>
      <c r="D1185"/>
      <c r="E1185"/>
      <c r="F1185"/>
      <c r="G1185"/>
      <c r="H1185" s="11"/>
      <c r="I1185"/>
      <c r="J1185"/>
      <c r="L1185"/>
      <c r="M1185"/>
      <c r="N1185"/>
      <c r="O1185" s="59"/>
    </row>
    <row r="1186" spans="1:15" x14ac:dyDescent="0.3">
      <c r="A1186"/>
      <c r="B1186"/>
      <c r="C1186"/>
      <c r="D1186"/>
      <c r="E1186"/>
      <c r="F1186"/>
      <c r="G1186"/>
      <c r="H1186" s="11"/>
      <c r="I1186"/>
      <c r="J1186"/>
      <c r="L1186"/>
      <c r="M1186"/>
      <c r="N1186"/>
      <c r="O1186" s="59"/>
    </row>
    <row r="1187" spans="1:15" x14ac:dyDescent="0.3">
      <c r="A1187"/>
      <c r="B1187"/>
      <c r="C1187"/>
      <c r="D1187"/>
      <c r="E1187"/>
      <c r="F1187"/>
      <c r="G1187"/>
      <c r="H1187" s="11"/>
      <c r="I1187"/>
      <c r="J1187"/>
      <c r="L1187"/>
      <c r="M1187"/>
      <c r="N1187"/>
      <c r="O1187" s="59"/>
    </row>
    <row r="1188" spans="1:15" x14ac:dyDescent="0.3">
      <c r="A1188"/>
      <c r="B1188"/>
      <c r="C1188"/>
      <c r="D1188"/>
      <c r="E1188"/>
      <c r="F1188"/>
      <c r="G1188"/>
      <c r="H1188" s="11"/>
      <c r="I1188"/>
      <c r="J1188"/>
      <c r="L1188"/>
      <c r="M1188"/>
      <c r="N1188"/>
      <c r="O1188" s="59"/>
    </row>
    <row r="1189" spans="1:15" x14ac:dyDescent="0.3">
      <c r="A1189"/>
      <c r="B1189"/>
      <c r="C1189"/>
      <c r="D1189"/>
      <c r="E1189"/>
      <c r="F1189"/>
      <c r="G1189"/>
      <c r="H1189" s="11"/>
      <c r="I1189"/>
      <c r="J1189"/>
      <c r="L1189"/>
      <c r="M1189"/>
      <c r="N1189"/>
      <c r="O1189" s="59"/>
    </row>
    <row r="1190" spans="1:15" x14ac:dyDescent="0.3">
      <c r="A1190"/>
      <c r="B1190"/>
      <c r="C1190"/>
      <c r="D1190"/>
      <c r="E1190"/>
      <c r="F1190"/>
      <c r="G1190"/>
      <c r="H1190" s="11"/>
      <c r="I1190"/>
      <c r="J1190"/>
      <c r="L1190"/>
      <c r="M1190"/>
      <c r="N1190"/>
      <c r="O1190" s="59"/>
    </row>
    <row r="1191" spans="1:15" x14ac:dyDescent="0.3">
      <c r="A1191"/>
      <c r="B1191"/>
      <c r="C1191"/>
      <c r="D1191"/>
      <c r="E1191"/>
      <c r="F1191"/>
      <c r="G1191"/>
      <c r="H1191" s="11"/>
      <c r="I1191"/>
      <c r="J1191"/>
      <c r="L1191"/>
      <c r="M1191"/>
      <c r="N1191"/>
      <c r="O1191" s="59"/>
    </row>
    <row r="1192" spans="1:15" x14ac:dyDescent="0.3">
      <c r="A1192"/>
      <c r="B1192"/>
      <c r="C1192"/>
      <c r="D1192"/>
      <c r="E1192"/>
      <c r="F1192"/>
      <c r="G1192"/>
      <c r="H1192" s="11"/>
      <c r="I1192"/>
      <c r="J1192"/>
      <c r="L1192"/>
      <c r="M1192"/>
      <c r="N1192"/>
      <c r="O1192" s="59"/>
    </row>
    <row r="1193" spans="1:15" x14ac:dyDescent="0.3">
      <c r="A1193"/>
      <c r="B1193"/>
      <c r="C1193"/>
      <c r="D1193"/>
      <c r="E1193"/>
      <c r="F1193"/>
      <c r="G1193"/>
      <c r="H1193" s="11"/>
      <c r="I1193"/>
      <c r="J1193"/>
      <c r="L1193"/>
      <c r="M1193"/>
      <c r="N1193"/>
      <c r="O1193" s="59"/>
    </row>
    <row r="1194" spans="1:15" x14ac:dyDescent="0.3">
      <c r="A1194"/>
      <c r="B1194"/>
      <c r="C1194"/>
      <c r="D1194"/>
      <c r="E1194"/>
      <c r="F1194"/>
      <c r="G1194"/>
      <c r="H1194" s="11"/>
      <c r="I1194"/>
      <c r="J1194"/>
      <c r="L1194"/>
      <c r="M1194"/>
      <c r="N1194"/>
      <c r="O1194" s="59"/>
    </row>
    <row r="1195" spans="1:15" x14ac:dyDescent="0.3">
      <c r="A1195"/>
      <c r="B1195"/>
      <c r="C1195"/>
      <c r="D1195"/>
      <c r="E1195"/>
      <c r="F1195"/>
      <c r="G1195"/>
      <c r="H1195" s="11"/>
      <c r="I1195"/>
      <c r="J1195"/>
      <c r="L1195"/>
      <c r="M1195"/>
      <c r="N1195"/>
      <c r="O1195" s="59"/>
    </row>
    <row r="1196" spans="1:15" x14ac:dyDescent="0.3">
      <c r="A1196"/>
      <c r="B1196"/>
      <c r="C1196"/>
      <c r="D1196"/>
      <c r="E1196"/>
      <c r="F1196"/>
      <c r="G1196"/>
      <c r="H1196" s="11"/>
      <c r="I1196"/>
      <c r="J1196"/>
      <c r="L1196"/>
      <c r="M1196"/>
      <c r="N1196"/>
      <c r="O1196" s="59"/>
    </row>
    <row r="1197" spans="1:15" x14ac:dyDescent="0.3">
      <c r="A1197"/>
      <c r="B1197"/>
      <c r="C1197"/>
      <c r="D1197"/>
      <c r="E1197"/>
      <c r="F1197"/>
      <c r="G1197"/>
      <c r="H1197" s="11"/>
      <c r="I1197"/>
      <c r="J1197"/>
      <c r="L1197"/>
      <c r="M1197"/>
      <c r="N1197"/>
      <c r="O1197" s="59"/>
    </row>
    <row r="1198" spans="1:15" x14ac:dyDescent="0.3">
      <c r="A1198"/>
      <c r="B1198"/>
      <c r="C1198"/>
      <c r="D1198"/>
      <c r="E1198"/>
      <c r="F1198"/>
      <c r="G1198"/>
      <c r="H1198" s="11"/>
      <c r="I1198"/>
      <c r="J1198"/>
      <c r="L1198"/>
      <c r="M1198"/>
      <c r="N1198"/>
      <c r="O1198" s="59"/>
    </row>
    <row r="1199" spans="1:15" x14ac:dyDescent="0.3">
      <c r="A1199"/>
      <c r="B1199"/>
      <c r="C1199"/>
      <c r="D1199"/>
      <c r="E1199"/>
      <c r="F1199"/>
      <c r="G1199"/>
      <c r="H1199" s="11"/>
      <c r="I1199"/>
      <c r="J1199"/>
      <c r="L1199"/>
      <c r="M1199"/>
      <c r="N1199"/>
      <c r="O1199" s="59"/>
    </row>
    <row r="1200" spans="1:15" x14ac:dyDescent="0.3">
      <c r="A1200"/>
      <c r="B1200"/>
      <c r="C1200"/>
      <c r="D1200"/>
      <c r="E1200"/>
      <c r="F1200"/>
      <c r="G1200"/>
      <c r="H1200" s="11"/>
      <c r="I1200"/>
      <c r="J1200"/>
      <c r="L1200"/>
      <c r="M1200"/>
      <c r="N1200"/>
      <c r="O1200" s="59"/>
    </row>
    <row r="1201" spans="1:15" x14ac:dyDescent="0.3">
      <c r="A1201"/>
      <c r="B1201"/>
      <c r="C1201"/>
      <c r="D1201"/>
      <c r="E1201"/>
      <c r="F1201"/>
      <c r="G1201"/>
      <c r="H1201" s="11"/>
      <c r="I1201"/>
      <c r="J1201"/>
      <c r="L1201"/>
      <c r="M1201"/>
      <c r="N1201"/>
      <c r="O1201" s="59"/>
    </row>
    <row r="1202" spans="1:15" x14ac:dyDescent="0.3">
      <c r="A1202"/>
      <c r="B1202"/>
      <c r="C1202"/>
      <c r="D1202"/>
      <c r="E1202"/>
      <c r="F1202"/>
      <c r="G1202"/>
      <c r="H1202" s="11"/>
      <c r="I1202"/>
      <c r="J1202"/>
      <c r="L1202"/>
      <c r="M1202"/>
      <c r="N1202"/>
      <c r="O1202" s="59"/>
    </row>
    <row r="1203" spans="1:15" x14ac:dyDescent="0.3">
      <c r="A1203"/>
      <c r="B1203"/>
      <c r="C1203"/>
      <c r="D1203"/>
      <c r="E1203"/>
      <c r="F1203"/>
      <c r="G1203"/>
      <c r="H1203" s="11"/>
      <c r="I1203"/>
      <c r="J1203"/>
      <c r="L1203"/>
      <c r="M1203"/>
      <c r="N1203"/>
      <c r="O1203" s="59"/>
    </row>
    <row r="1204" spans="1:15" x14ac:dyDescent="0.3">
      <c r="A1204"/>
      <c r="B1204"/>
      <c r="C1204"/>
      <c r="D1204"/>
      <c r="E1204"/>
      <c r="F1204"/>
      <c r="G1204"/>
      <c r="H1204" s="11"/>
      <c r="I1204"/>
      <c r="J1204"/>
      <c r="L1204"/>
      <c r="M1204"/>
      <c r="N1204"/>
      <c r="O1204" s="59"/>
    </row>
    <row r="1205" spans="1:15" x14ac:dyDescent="0.3">
      <c r="A1205"/>
      <c r="B1205"/>
      <c r="C1205"/>
      <c r="D1205"/>
      <c r="E1205"/>
      <c r="F1205"/>
      <c r="G1205"/>
      <c r="H1205" s="11"/>
      <c r="I1205"/>
      <c r="J1205"/>
      <c r="L1205"/>
      <c r="M1205"/>
      <c r="N1205"/>
      <c r="O1205" s="59"/>
    </row>
    <row r="1206" spans="1:15" x14ac:dyDescent="0.3">
      <c r="A1206"/>
      <c r="B1206"/>
      <c r="C1206"/>
      <c r="D1206"/>
      <c r="E1206"/>
      <c r="F1206"/>
      <c r="G1206"/>
      <c r="H1206" s="11"/>
      <c r="I1206"/>
      <c r="J1206"/>
      <c r="L1206"/>
      <c r="M1206"/>
      <c r="N1206"/>
      <c r="O1206" s="59"/>
    </row>
    <row r="1207" spans="1:15" x14ac:dyDescent="0.3">
      <c r="A1207"/>
      <c r="B1207"/>
      <c r="C1207"/>
      <c r="D1207"/>
      <c r="E1207"/>
      <c r="F1207"/>
      <c r="G1207"/>
      <c r="H1207" s="11"/>
      <c r="I1207"/>
      <c r="J1207"/>
      <c r="L1207"/>
      <c r="M1207"/>
      <c r="N1207"/>
      <c r="O1207" s="59"/>
    </row>
    <row r="1208" spans="1:15" x14ac:dyDescent="0.3">
      <c r="A1208"/>
      <c r="B1208"/>
      <c r="C1208"/>
      <c r="D1208"/>
      <c r="E1208"/>
      <c r="F1208"/>
      <c r="G1208"/>
      <c r="H1208" s="11"/>
      <c r="I1208"/>
      <c r="J1208"/>
      <c r="L1208"/>
      <c r="M1208"/>
      <c r="N1208"/>
      <c r="O1208" s="59"/>
    </row>
    <row r="1209" spans="1:15" x14ac:dyDescent="0.3">
      <c r="A1209"/>
      <c r="B1209"/>
      <c r="C1209"/>
      <c r="D1209"/>
      <c r="E1209"/>
      <c r="F1209"/>
      <c r="G1209"/>
      <c r="H1209" s="11"/>
      <c r="I1209"/>
      <c r="J1209"/>
      <c r="L1209"/>
      <c r="M1209"/>
      <c r="N1209"/>
      <c r="O1209" s="59"/>
    </row>
    <row r="1210" spans="1:15" x14ac:dyDescent="0.3">
      <c r="A1210"/>
      <c r="B1210"/>
      <c r="C1210"/>
      <c r="D1210"/>
      <c r="E1210"/>
      <c r="F1210"/>
      <c r="G1210"/>
      <c r="H1210" s="11"/>
      <c r="I1210"/>
      <c r="J1210"/>
      <c r="L1210"/>
      <c r="M1210"/>
      <c r="N1210"/>
      <c r="O1210" s="59"/>
    </row>
    <row r="1211" spans="1:15" x14ac:dyDescent="0.3">
      <c r="A1211"/>
      <c r="B1211"/>
      <c r="C1211"/>
      <c r="D1211"/>
      <c r="E1211"/>
      <c r="F1211"/>
      <c r="G1211"/>
      <c r="H1211" s="11"/>
      <c r="I1211"/>
      <c r="J1211"/>
      <c r="L1211"/>
      <c r="M1211"/>
      <c r="N1211"/>
      <c r="O1211" s="59"/>
    </row>
    <row r="1212" spans="1:15" x14ac:dyDescent="0.3">
      <c r="A1212"/>
      <c r="B1212"/>
      <c r="C1212"/>
      <c r="D1212"/>
      <c r="E1212"/>
      <c r="F1212"/>
      <c r="G1212"/>
      <c r="H1212" s="11"/>
      <c r="I1212"/>
      <c r="J1212"/>
      <c r="L1212"/>
      <c r="M1212"/>
      <c r="N1212"/>
      <c r="O1212" s="59"/>
    </row>
    <row r="1213" spans="1:15" x14ac:dyDescent="0.3">
      <c r="A1213"/>
      <c r="B1213"/>
      <c r="C1213"/>
      <c r="D1213"/>
      <c r="E1213"/>
      <c r="F1213"/>
      <c r="G1213"/>
      <c r="H1213" s="11"/>
      <c r="I1213"/>
      <c r="J1213"/>
      <c r="L1213"/>
      <c r="M1213"/>
      <c r="N1213"/>
      <c r="O1213" s="59"/>
    </row>
    <row r="1214" spans="1:15" x14ac:dyDescent="0.3">
      <c r="A1214"/>
      <c r="B1214"/>
      <c r="C1214"/>
      <c r="D1214"/>
      <c r="E1214"/>
      <c r="F1214"/>
      <c r="G1214"/>
      <c r="H1214" s="11"/>
      <c r="I1214"/>
      <c r="J1214"/>
      <c r="L1214"/>
      <c r="M1214"/>
      <c r="N1214"/>
      <c r="O1214" s="59"/>
    </row>
    <row r="1215" spans="1:15" x14ac:dyDescent="0.3">
      <c r="A1215"/>
      <c r="B1215"/>
      <c r="C1215"/>
      <c r="D1215"/>
      <c r="E1215"/>
      <c r="F1215"/>
      <c r="G1215"/>
      <c r="H1215" s="11"/>
      <c r="I1215"/>
      <c r="J1215"/>
      <c r="L1215"/>
      <c r="M1215"/>
      <c r="N1215"/>
      <c r="O1215" s="59"/>
    </row>
    <row r="1216" spans="1:15" x14ac:dyDescent="0.3">
      <c r="A1216"/>
      <c r="B1216"/>
      <c r="C1216"/>
      <c r="D1216"/>
      <c r="E1216"/>
      <c r="F1216"/>
      <c r="G1216"/>
      <c r="H1216" s="11"/>
      <c r="I1216"/>
      <c r="J1216"/>
      <c r="L1216"/>
      <c r="M1216"/>
      <c r="N1216"/>
      <c r="O1216" s="59"/>
    </row>
    <row r="1217" spans="1:15" x14ac:dyDescent="0.3">
      <c r="A1217"/>
      <c r="B1217"/>
      <c r="C1217"/>
      <c r="D1217"/>
      <c r="E1217"/>
      <c r="F1217"/>
      <c r="G1217"/>
      <c r="H1217" s="11"/>
      <c r="I1217"/>
      <c r="J1217"/>
      <c r="L1217"/>
      <c r="M1217"/>
      <c r="N1217"/>
      <c r="O1217" s="59"/>
    </row>
    <row r="1218" spans="1:15" x14ac:dyDescent="0.3">
      <c r="A1218"/>
      <c r="B1218"/>
      <c r="C1218"/>
      <c r="D1218"/>
      <c r="E1218"/>
      <c r="F1218"/>
      <c r="G1218"/>
      <c r="H1218" s="11"/>
      <c r="I1218"/>
      <c r="J1218"/>
      <c r="L1218"/>
      <c r="M1218"/>
      <c r="N1218"/>
      <c r="O1218" s="59"/>
    </row>
    <row r="1219" spans="1:15" x14ac:dyDescent="0.3">
      <c r="A1219"/>
      <c r="B1219"/>
      <c r="C1219"/>
      <c r="D1219"/>
      <c r="E1219"/>
      <c r="F1219"/>
      <c r="G1219"/>
      <c r="H1219" s="11"/>
      <c r="I1219"/>
      <c r="J1219"/>
      <c r="L1219"/>
      <c r="M1219"/>
      <c r="N1219"/>
      <c r="O1219" s="59"/>
    </row>
    <row r="1220" spans="1:15" x14ac:dyDescent="0.3">
      <c r="A1220"/>
      <c r="B1220"/>
      <c r="C1220"/>
      <c r="D1220"/>
      <c r="E1220"/>
      <c r="F1220"/>
      <c r="G1220"/>
      <c r="H1220" s="11"/>
      <c r="I1220"/>
      <c r="J1220"/>
      <c r="L1220"/>
      <c r="M1220"/>
      <c r="N1220"/>
      <c r="O1220" s="59"/>
    </row>
    <row r="1221" spans="1:15" x14ac:dyDescent="0.3">
      <c r="A1221"/>
      <c r="B1221"/>
      <c r="C1221"/>
      <c r="D1221"/>
      <c r="E1221"/>
      <c r="F1221"/>
      <c r="G1221"/>
      <c r="H1221" s="11"/>
      <c r="I1221"/>
      <c r="J1221"/>
      <c r="L1221"/>
      <c r="M1221"/>
      <c r="N1221"/>
      <c r="O1221" s="59"/>
    </row>
    <row r="1222" spans="1:15" x14ac:dyDescent="0.3">
      <c r="A1222"/>
      <c r="B1222"/>
      <c r="C1222"/>
      <c r="D1222"/>
      <c r="E1222"/>
      <c r="F1222"/>
      <c r="G1222"/>
      <c r="H1222" s="11"/>
      <c r="I1222"/>
      <c r="J1222"/>
      <c r="L1222"/>
      <c r="M1222"/>
      <c r="N1222"/>
      <c r="O1222" s="59"/>
    </row>
    <row r="1223" spans="1:15" x14ac:dyDescent="0.3">
      <c r="A1223"/>
      <c r="B1223"/>
      <c r="C1223"/>
      <c r="D1223"/>
      <c r="E1223"/>
      <c r="F1223"/>
      <c r="G1223"/>
      <c r="H1223" s="11"/>
      <c r="I1223"/>
      <c r="J1223"/>
      <c r="L1223"/>
      <c r="M1223"/>
      <c r="N1223"/>
      <c r="O1223" s="59"/>
    </row>
    <row r="1224" spans="1:15" x14ac:dyDescent="0.3">
      <c r="A1224"/>
      <c r="B1224"/>
      <c r="C1224"/>
      <c r="D1224"/>
      <c r="E1224"/>
      <c r="F1224"/>
      <c r="G1224"/>
      <c r="H1224" s="11"/>
      <c r="I1224"/>
      <c r="J1224"/>
      <c r="L1224"/>
      <c r="M1224"/>
      <c r="N1224"/>
      <c r="O1224" s="59"/>
    </row>
    <row r="1225" spans="1:15" x14ac:dyDescent="0.3">
      <c r="A1225"/>
      <c r="B1225"/>
      <c r="C1225"/>
      <c r="D1225"/>
      <c r="E1225"/>
      <c r="F1225"/>
      <c r="G1225"/>
      <c r="H1225" s="11"/>
      <c r="I1225"/>
      <c r="J1225"/>
      <c r="L1225"/>
      <c r="M1225"/>
      <c r="N1225"/>
      <c r="O1225" s="59"/>
    </row>
    <row r="1226" spans="1:15" x14ac:dyDescent="0.3">
      <c r="A1226"/>
      <c r="B1226"/>
      <c r="C1226"/>
      <c r="D1226"/>
      <c r="E1226"/>
      <c r="F1226"/>
      <c r="G1226"/>
      <c r="H1226" s="11"/>
      <c r="I1226"/>
      <c r="J1226"/>
      <c r="L1226"/>
      <c r="M1226"/>
      <c r="N1226"/>
      <c r="O1226" s="59"/>
    </row>
    <row r="1227" spans="1:15" x14ac:dyDescent="0.3">
      <c r="A1227"/>
      <c r="B1227"/>
      <c r="C1227"/>
      <c r="D1227"/>
      <c r="E1227"/>
      <c r="F1227"/>
      <c r="G1227"/>
      <c r="H1227" s="11"/>
      <c r="I1227"/>
      <c r="J1227"/>
      <c r="L1227"/>
      <c r="M1227"/>
      <c r="N1227"/>
      <c r="O1227" s="59"/>
    </row>
    <row r="1228" spans="1:15" x14ac:dyDescent="0.3">
      <c r="A1228"/>
      <c r="B1228"/>
      <c r="C1228"/>
      <c r="D1228"/>
      <c r="E1228"/>
      <c r="F1228"/>
      <c r="G1228"/>
      <c r="H1228" s="11"/>
      <c r="I1228"/>
      <c r="J1228"/>
      <c r="L1228"/>
      <c r="M1228"/>
      <c r="N1228"/>
      <c r="O1228" s="59"/>
    </row>
    <row r="1229" spans="1:15" x14ac:dyDescent="0.3">
      <c r="A1229"/>
      <c r="B1229"/>
      <c r="C1229"/>
      <c r="D1229"/>
      <c r="E1229"/>
      <c r="F1229"/>
      <c r="G1229"/>
      <c r="H1229" s="11"/>
      <c r="I1229"/>
      <c r="J1229"/>
      <c r="L1229"/>
      <c r="M1229"/>
      <c r="N1229"/>
      <c r="O1229" s="59"/>
    </row>
    <row r="1230" spans="1:15" x14ac:dyDescent="0.3">
      <c r="A1230"/>
      <c r="B1230"/>
      <c r="C1230"/>
      <c r="D1230"/>
      <c r="E1230"/>
      <c r="F1230"/>
      <c r="G1230"/>
      <c r="H1230" s="11"/>
      <c r="I1230"/>
      <c r="J1230"/>
      <c r="L1230"/>
      <c r="M1230"/>
      <c r="N1230"/>
      <c r="O1230" s="59"/>
    </row>
    <row r="1231" spans="1:15" x14ac:dyDescent="0.3">
      <c r="A1231"/>
      <c r="B1231"/>
      <c r="C1231"/>
      <c r="D1231"/>
      <c r="E1231"/>
      <c r="F1231"/>
      <c r="G1231"/>
      <c r="H1231" s="11"/>
      <c r="I1231"/>
      <c r="J1231"/>
      <c r="L1231"/>
      <c r="M1231"/>
      <c r="N1231"/>
      <c r="O1231" s="59"/>
    </row>
    <row r="1232" spans="1:15" x14ac:dyDescent="0.3">
      <c r="A1232"/>
      <c r="B1232"/>
      <c r="C1232"/>
      <c r="D1232"/>
      <c r="E1232"/>
      <c r="F1232"/>
      <c r="G1232"/>
      <c r="H1232" s="11"/>
      <c r="I1232"/>
      <c r="J1232"/>
      <c r="L1232"/>
      <c r="M1232"/>
      <c r="N1232"/>
      <c r="O1232" s="59"/>
    </row>
    <row r="1233" spans="1:15" x14ac:dyDescent="0.3">
      <c r="A1233"/>
      <c r="B1233"/>
      <c r="C1233"/>
      <c r="D1233"/>
      <c r="E1233"/>
      <c r="F1233"/>
      <c r="G1233"/>
      <c r="H1233" s="11"/>
      <c r="I1233"/>
      <c r="J1233"/>
      <c r="L1233"/>
      <c r="M1233"/>
      <c r="N1233"/>
      <c r="O1233" s="59"/>
    </row>
    <row r="1234" spans="1:15" x14ac:dyDescent="0.3">
      <c r="A1234"/>
      <c r="B1234"/>
      <c r="C1234"/>
      <c r="D1234"/>
      <c r="E1234"/>
      <c r="F1234"/>
      <c r="G1234"/>
      <c r="H1234" s="11"/>
      <c r="I1234"/>
      <c r="J1234"/>
      <c r="L1234"/>
      <c r="M1234"/>
      <c r="N1234"/>
      <c r="O1234" s="59"/>
    </row>
    <row r="1235" spans="1:15" x14ac:dyDescent="0.3">
      <c r="A1235"/>
      <c r="B1235"/>
      <c r="C1235"/>
      <c r="D1235"/>
      <c r="E1235"/>
      <c r="F1235"/>
      <c r="G1235"/>
      <c r="H1235" s="11"/>
      <c r="I1235"/>
      <c r="J1235"/>
      <c r="L1235"/>
      <c r="M1235"/>
      <c r="N1235"/>
      <c r="O1235" s="59"/>
    </row>
    <row r="1236" spans="1:15" x14ac:dyDescent="0.3">
      <c r="A1236"/>
      <c r="B1236"/>
      <c r="C1236"/>
      <c r="D1236"/>
      <c r="E1236"/>
      <c r="F1236"/>
      <c r="G1236"/>
      <c r="H1236" s="11"/>
      <c r="I1236"/>
      <c r="J1236"/>
      <c r="L1236"/>
      <c r="M1236"/>
      <c r="N1236"/>
      <c r="O1236" s="59"/>
    </row>
    <row r="1237" spans="1:15" x14ac:dyDescent="0.3">
      <c r="A1237"/>
      <c r="B1237"/>
      <c r="C1237"/>
      <c r="D1237"/>
      <c r="E1237"/>
      <c r="F1237"/>
      <c r="G1237"/>
      <c r="H1237" s="11"/>
      <c r="I1237"/>
      <c r="J1237"/>
      <c r="L1237"/>
      <c r="M1237"/>
      <c r="N1237"/>
      <c r="O1237" s="59"/>
    </row>
    <row r="1238" spans="1:15" x14ac:dyDescent="0.3">
      <c r="A1238"/>
      <c r="B1238"/>
      <c r="C1238"/>
      <c r="D1238"/>
      <c r="E1238"/>
      <c r="F1238"/>
      <c r="G1238"/>
      <c r="H1238" s="11"/>
      <c r="I1238"/>
      <c r="J1238"/>
      <c r="L1238"/>
      <c r="M1238"/>
      <c r="N1238"/>
      <c r="O1238" s="60"/>
    </row>
    <row r="1239" spans="1:15" x14ac:dyDescent="0.3">
      <c r="A1239"/>
      <c r="B1239"/>
      <c r="C1239"/>
      <c r="D1239"/>
      <c r="E1239"/>
      <c r="F1239"/>
      <c r="G1239"/>
      <c r="H1239" s="11"/>
      <c r="I1239"/>
      <c r="J1239"/>
      <c r="L1239"/>
      <c r="M1239"/>
      <c r="N1239"/>
      <c r="O1239" s="60"/>
    </row>
  </sheetData>
  <sortState ref="A2:O1254">
    <sortCondition descending="1" ref="N2:N1254"/>
  </sortState>
  <mergeCells count="1">
    <mergeCell ref="P6:Q6"/>
  </mergeCells>
  <conditionalFormatting sqref="V76:V80">
    <cfRule type="colorScale" priority="7">
      <colorScale>
        <cfvo type="min"/>
        <cfvo type="max"/>
        <color rgb="FFFCFCFF"/>
        <color rgb="FF63BE7B"/>
      </colorScale>
    </cfRule>
  </conditionalFormatting>
  <conditionalFormatting sqref="V13">
    <cfRule type="colorScale" priority="6">
      <colorScale>
        <cfvo type="min"/>
        <cfvo type="max"/>
        <color rgb="FFFCFCFF"/>
        <color rgb="FF63BE7B"/>
      </colorScale>
    </cfRule>
  </conditionalFormatting>
  <conditionalFormatting sqref="V1">
    <cfRule type="colorScale" priority="5">
      <colorScale>
        <cfvo type="min"/>
        <cfvo type="max"/>
        <color rgb="FFFCFCFF"/>
        <color rgb="FF63BE7B"/>
      </colorScale>
    </cfRule>
  </conditionalFormatting>
  <conditionalFormatting sqref="R1">
    <cfRule type="colorScale" priority="4">
      <colorScale>
        <cfvo type="min"/>
        <cfvo type="max"/>
        <color rgb="FFFCFCFF"/>
        <color rgb="FF63BE7B"/>
      </colorScale>
    </cfRule>
  </conditionalFormatting>
  <conditionalFormatting sqref="A1240:A1048576 A1:A620">
    <cfRule type="duplicateValues" dxfId="3" priority="3"/>
  </conditionalFormatting>
  <conditionalFormatting sqref="V14:V75 V2:V12">
    <cfRule type="colorScale" priority="26">
      <colorScale>
        <cfvo type="min"/>
        <cfvo type="max"/>
        <color rgb="FFFCFCFF"/>
        <color rgb="FF63BE7B"/>
      </colorScale>
    </cfRule>
  </conditionalFormatting>
  <conditionalFormatting sqref="A1240:A1048576 A1:A629">
    <cfRule type="duplicateValues" dxfId="2" priority="2"/>
  </conditionalFormatting>
  <conditionalFormatting sqref="C2:C1048576">
    <cfRule type="duplicateValues" dxfId="1" priority="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41"/>
  <sheetViews>
    <sheetView workbookViewId="0"/>
  </sheetViews>
  <sheetFormatPr defaultColWidth="9.109375" defaultRowHeight="14.4" x14ac:dyDescent="0.3"/>
  <cols>
    <col min="1" max="1" width="37.109375" style="56" customWidth="1"/>
    <col min="2" max="2" width="15.33203125" style="56" customWidth="1"/>
    <col min="3" max="3" width="20.44140625" style="56" customWidth="1"/>
    <col min="4" max="4" width="16.6640625" style="56" customWidth="1"/>
    <col min="5" max="5" width="27.44140625" style="56" customWidth="1"/>
    <col min="6" max="6" width="27.33203125" style="56" customWidth="1"/>
    <col min="7" max="7" width="15.33203125" style="56" customWidth="1"/>
    <col min="8" max="10" width="17.44140625" style="56" customWidth="1"/>
    <col min="11" max="14" width="15.33203125" style="56" customWidth="1"/>
    <col min="15" max="16384" width="9.109375" style="56"/>
  </cols>
  <sheetData>
    <row r="1" spans="1:23" s="64" customFormat="1" ht="53.25" customHeight="1" x14ac:dyDescent="0.3">
      <c r="A1" s="19" t="s">
        <v>43</v>
      </c>
      <c r="B1" s="19" t="s">
        <v>29</v>
      </c>
      <c r="C1" s="19" t="s">
        <v>508</v>
      </c>
      <c r="D1" s="57" t="s">
        <v>45</v>
      </c>
      <c r="E1" s="19" t="s">
        <v>507</v>
      </c>
      <c r="F1" s="57" t="s">
        <v>44</v>
      </c>
      <c r="G1" s="19" t="s">
        <v>1386</v>
      </c>
      <c r="H1" s="19" t="s">
        <v>1387</v>
      </c>
      <c r="I1" s="57" t="s">
        <v>1979</v>
      </c>
      <c r="J1" s="58" t="s">
        <v>1980</v>
      </c>
      <c r="K1" s="58" t="s">
        <v>1981</v>
      </c>
      <c r="L1" s="57" t="s">
        <v>1436</v>
      </c>
      <c r="M1" s="57" t="s">
        <v>1346</v>
      </c>
    </row>
    <row r="2" spans="1:23" x14ac:dyDescent="0.3">
      <c r="A2" s="27" t="s">
        <v>1361</v>
      </c>
      <c r="B2" s="27" t="s">
        <v>9</v>
      </c>
      <c r="C2" s="27" t="s">
        <v>1362</v>
      </c>
      <c r="D2" s="27">
        <v>2017</v>
      </c>
      <c r="E2" s="83" t="s">
        <v>531</v>
      </c>
      <c r="F2" s="29">
        <v>10</v>
      </c>
      <c r="G2" s="29">
        <v>14</v>
      </c>
      <c r="H2" s="81">
        <f t="shared" ref="H2:H31" si="0">G2*10^6/(F2*10000)</f>
        <v>140</v>
      </c>
      <c r="I2" s="66">
        <v>1759</v>
      </c>
      <c r="J2" s="66">
        <v>933</v>
      </c>
      <c r="K2" s="66">
        <v>1222</v>
      </c>
      <c r="L2" s="66">
        <v>24.8</v>
      </c>
      <c r="M2" s="82">
        <f t="shared" ref="M2:M31" si="1">H2/I2</f>
        <v>7.9590676520750428E-2</v>
      </c>
      <c r="O2" s="64"/>
      <c r="P2" s="70"/>
      <c r="Q2" s="64"/>
      <c r="S2" s="65"/>
    </row>
    <row r="3" spans="1:23" x14ac:dyDescent="0.3">
      <c r="A3" s="27" t="s">
        <v>1367</v>
      </c>
      <c r="B3" s="27" t="s">
        <v>509</v>
      </c>
      <c r="C3" s="27" t="s">
        <v>1368</v>
      </c>
      <c r="D3" s="27">
        <v>2014</v>
      </c>
      <c r="E3" s="83" t="s">
        <v>531</v>
      </c>
      <c r="F3" s="29">
        <v>2.7</v>
      </c>
      <c r="G3" s="29">
        <v>3</v>
      </c>
      <c r="H3" s="81">
        <f t="shared" si="0"/>
        <v>111.11111111111111</v>
      </c>
      <c r="I3" s="66">
        <v>1643</v>
      </c>
      <c r="J3" s="66">
        <v>624</v>
      </c>
      <c r="K3" s="66">
        <v>1675</v>
      </c>
      <c r="L3" s="66">
        <v>15.1</v>
      </c>
      <c r="M3" s="82">
        <f t="shared" si="1"/>
        <v>6.7626969635490641E-2</v>
      </c>
      <c r="O3" s="64"/>
      <c r="P3" s="70"/>
      <c r="Q3" s="64"/>
    </row>
    <row r="4" spans="1:23" x14ac:dyDescent="0.3">
      <c r="A4" s="80" t="s">
        <v>530</v>
      </c>
      <c r="B4" s="80" t="s">
        <v>9</v>
      </c>
      <c r="C4" s="80" t="s">
        <v>1430</v>
      </c>
      <c r="D4" s="80">
        <v>2014</v>
      </c>
      <c r="E4" s="80" t="s">
        <v>531</v>
      </c>
      <c r="F4" s="80">
        <v>340</v>
      </c>
      <c r="G4" s="80">
        <v>280</v>
      </c>
      <c r="H4" s="81">
        <f t="shared" si="0"/>
        <v>82.352941176470594</v>
      </c>
      <c r="I4" s="81">
        <v>2031</v>
      </c>
      <c r="J4" s="83">
        <v>885</v>
      </c>
      <c r="K4" s="83">
        <v>1742</v>
      </c>
      <c r="L4" s="83">
        <v>26.5</v>
      </c>
      <c r="M4" s="82">
        <f t="shared" si="1"/>
        <v>4.0547976945578823E-2</v>
      </c>
      <c r="O4" s="64"/>
      <c r="P4" s="70"/>
      <c r="Q4" s="64"/>
    </row>
    <row r="5" spans="1:23" x14ac:dyDescent="0.3">
      <c r="A5" s="80" t="s">
        <v>532</v>
      </c>
      <c r="B5" s="80" t="s">
        <v>515</v>
      </c>
      <c r="C5" s="80" t="s">
        <v>533</v>
      </c>
      <c r="D5" s="80">
        <v>2014</v>
      </c>
      <c r="E5" s="80" t="s">
        <v>531</v>
      </c>
      <c r="F5" s="80">
        <v>2</v>
      </c>
      <c r="G5" s="80">
        <v>1.6</v>
      </c>
      <c r="H5" s="81">
        <f t="shared" si="0"/>
        <v>80</v>
      </c>
      <c r="I5" s="81">
        <v>2162</v>
      </c>
      <c r="J5" s="83">
        <v>617</v>
      </c>
      <c r="K5" s="83">
        <v>2503</v>
      </c>
      <c r="L5" s="83">
        <v>15.6</v>
      </c>
      <c r="M5" s="82">
        <f t="shared" si="1"/>
        <v>3.7002775208140611E-2</v>
      </c>
      <c r="O5" s="64"/>
      <c r="P5" s="64"/>
      <c r="Q5" s="64"/>
    </row>
    <row r="6" spans="1:23" x14ac:dyDescent="0.3">
      <c r="A6" s="80" t="s">
        <v>535</v>
      </c>
      <c r="B6" s="80" t="s">
        <v>19</v>
      </c>
      <c r="C6" s="80" t="s">
        <v>536</v>
      </c>
      <c r="D6" s="80">
        <v>2947</v>
      </c>
      <c r="E6" s="80" t="s">
        <v>511</v>
      </c>
      <c r="F6" s="80">
        <v>100</v>
      </c>
      <c r="G6" s="80">
        <v>230</v>
      </c>
      <c r="H6" s="81">
        <f t="shared" si="0"/>
        <v>230</v>
      </c>
      <c r="I6" s="81">
        <v>2257</v>
      </c>
      <c r="J6" s="83">
        <v>437</v>
      </c>
      <c r="K6" s="83">
        <v>2947</v>
      </c>
      <c r="L6" s="83">
        <v>19.2</v>
      </c>
      <c r="M6" s="82">
        <f t="shared" si="1"/>
        <v>0.10190518387239698</v>
      </c>
      <c r="O6" s="64"/>
      <c r="P6" s="64"/>
      <c r="Q6" s="64"/>
    </row>
    <row r="7" spans="1:23" x14ac:dyDescent="0.3">
      <c r="A7" s="27" t="s">
        <v>1422</v>
      </c>
      <c r="B7" s="27" t="s">
        <v>519</v>
      </c>
      <c r="C7" s="27" t="s">
        <v>1371</v>
      </c>
      <c r="D7" s="27">
        <v>2013</v>
      </c>
      <c r="E7" s="83" t="s">
        <v>511</v>
      </c>
      <c r="F7" s="29">
        <v>70</v>
      </c>
      <c r="G7" s="29">
        <v>98</v>
      </c>
      <c r="H7" s="81">
        <f t="shared" si="0"/>
        <v>140</v>
      </c>
      <c r="I7" s="66">
        <v>1671</v>
      </c>
      <c r="J7" s="66">
        <v>589</v>
      </c>
      <c r="K7" s="66">
        <v>1878</v>
      </c>
      <c r="L7" s="66">
        <v>14.5</v>
      </c>
      <c r="M7" s="82">
        <f t="shared" si="1"/>
        <v>8.3782166367444649E-2</v>
      </c>
      <c r="O7" s="64"/>
      <c r="P7" s="64"/>
      <c r="Q7" s="64"/>
    </row>
    <row r="8" spans="1:23" x14ac:dyDescent="0.3">
      <c r="A8" s="80" t="s">
        <v>510</v>
      </c>
      <c r="B8" s="80" t="s">
        <v>509</v>
      </c>
      <c r="C8" s="80" t="s">
        <v>512</v>
      </c>
      <c r="D8" s="80">
        <v>2010</v>
      </c>
      <c r="E8" s="80" t="s">
        <v>511</v>
      </c>
      <c r="F8" s="80">
        <v>8</v>
      </c>
      <c r="G8" s="80">
        <v>9.1999999999999993</v>
      </c>
      <c r="H8" s="81">
        <f t="shared" si="0"/>
        <v>115</v>
      </c>
      <c r="I8" s="81">
        <v>1936</v>
      </c>
      <c r="J8" s="83">
        <v>656</v>
      </c>
      <c r="K8" s="83">
        <v>1748</v>
      </c>
      <c r="L8" s="83">
        <v>18.600000000000001</v>
      </c>
      <c r="M8" s="82">
        <f t="shared" si="1"/>
        <v>5.9400826446280995E-2</v>
      </c>
      <c r="O8" s="64"/>
      <c r="P8" s="64"/>
      <c r="Q8" s="64"/>
    </row>
    <row r="9" spans="1:23" x14ac:dyDescent="0.3">
      <c r="A9" s="27" t="s">
        <v>1376</v>
      </c>
      <c r="B9" s="27" t="s">
        <v>519</v>
      </c>
      <c r="C9" s="27" t="s">
        <v>1377</v>
      </c>
      <c r="D9" s="27">
        <v>2013</v>
      </c>
      <c r="E9" s="83" t="s">
        <v>511</v>
      </c>
      <c r="F9" s="29">
        <v>195.6</v>
      </c>
      <c r="G9" s="29">
        <v>180</v>
      </c>
      <c r="H9" s="81">
        <f t="shared" si="0"/>
        <v>92.024539877300612</v>
      </c>
      <c r="I9" s="66">
        <v>1778</v>
      </c>
      <c r="J9" s="66">
        <v>552</v>
      </c>
      <c r="K9" s="66">
        <v>2077</v>
      </c>
      <c r="L9" s="66">
        <v>15.8</v>
      </c>
      <c r="M9" s="82">
        <f t="shared" si="1"/>
        <v>5.1757334014229814E-2</v>
      </c>
      <c r="O9" s="64"/>
      <c r="P9" s="64"/>
      <c r="Q9" s="64"/>
    </row>
    <row r="10" spans="1:23" x14ac:dyDescent="0.3">
      <c r="A10" s="27" t="s">
        <v>1426</v>
      </c>
      <c r="B10" s="27" t="s">
        <v>128</v>
      </c>
      <c r="C10" s="27" t="s">
        <v>1385</v>
      </c>
      <c r="D10" s="27">
        <v>2013</v>
      </c>
      <c r="E10" s="83" t="s">
        <v>511</v>
      </c>
      <c r="F10" s="29">
        <v>854.7</v>
      </c>
      <c r="G10" s="29">
        <v>944</v>
      </c>
      <c r="H10" s="81">
        <f t="shared" si="0"/>
        <v>110.44811044811046</v>
      </c>
      <c r="I10" s="66">
        <v>2159</v>
      </c>
      <c r="J10" s="66">
        <v>476</v>
      </c>
      <c r="K10" s="66">
        <v>2780</v>
      </c>
      <c r="L10" s="66">
        <v>23.7</v>
      </c>
      <c r="M10" s="82">
        <f t="shared" si="1"/>
        <v>5.1157068294631985E-2</v>
      </c>
      <c r="O10" s="64"/>
      <c r="P10" s="64"/>
      <c r="Q10" s="64"/>
    </row>
    <row r="11" spans="1:23" x14ac:dyDescent="0.3">
      <c r="A11" s="27" t="s">
        <v>1378</v>
      </c>
      <c r="B11" s="27" t="s">
        <v>519</v>
      </c>
      <c r="C11" s="27" t="s">
        <v>1379</v>
      </c>
      <c r="D11" s="27">
        <v>2013</v>
      </c>
      <c r="E11" s="83" t="s">
        <v>511</v>
      </c>
      <c r="F11" s="29">
        <v>212.3</v>
      </c>
      <c r="G11" s="29">
        <v>180</v>
      </c>
      <c r="H11" s="81">
        <f t="shared" si="0"/>
        <v>84.785680640602919</v>
      </c>
      <c r="I11" s="66">
        <v>1778</v>
      </c>
      <c r="J11" s="66">
        <v>553</v>
      </c>
      <c r="K11" s="66">
        <v>2078</v>
      </c>
      <c r="L11" s="66">
        <v>15.9</v>
      </c>
      <c r="M11" s="82">
        <f t="shared" si="1"/>
        <v>4.7685984612262609E-2</v>
      </c>
    </row>
    <row r="12" spans="1:23" x14ac:dyDescent="0.3">
      <c r="A12" s="80" t="s">
        <v>537</v>
      </c>
      <c r="B12" s="80" t="s">
        <v>519</v>
      </c>
      <c r="C12" s="80" t="s">
        <v>538</v>
      </c>
      <c r="D12" s="80">
        <v>2011</v>
      </c>
      <c r="E12" s="80" t="s">
        <v>511</v>
      </c>
      <c r="F12" s="80">
        <v>110</v>
      </c>
      <c r="G12" s="80">
        <v>95</v>
      </c>
      <c r="H12" s="81">
        <f t="shared" si="0"/>
        <v>86.36363636363636</v>
      </c>
      <c r="I12" s="81">
        <v>1828</v>
      </c>
      <c r="J12" s="83">
        <v>595</v>
      </c>
      <c r="K12" s="83">
        <v>2066</v>
      </c>
      <c r="L12" s="83">
        <v>17.899999999999999</v>
      </c>
      <c r="M12" s="82">
        <f t="shared" si="1"/>
        <v>4.7244877660632581E-2</v>
      </c>
    </row>
    <row r="13" spans="1:23" x14ac:dyDescent="0.3">
      <c r="A13" s="27" t="s">
        <v>1421</v>
      </c>
      <c r="B13" s="27" t="s">
        <v>19</v>
      </c>
      <c r="C13" s="27" t="s">
        <v>1370</v>
      </c>
      <c r="D13" s="27">
        <v>2017</v>
      </c>
      <c r="E13" s="83" t="s">
        <v>511</v>
      </c>
      <c r="F13" s="29">
        <v>335.9</v>
      </c>
      <c r="G13" s="29">
        <v>360</v>
      </c>
      <c r="H13" s="81">
        <f t="shared" si="0"/>
        <v>107.17475439118785</v>
      </c>
      <c r="I13" s="66">
        <v>2300</v>
      </c>
      <c r="J13" s="66">
        <v>444</v>
      </c>
      <c r="K13" s="66">
        <v>2962</v>
      </c>
      <c r="L13" s="66">
        <v>19.3</v>
      </c>
      <c r="M13" s="82">
        <f t="shared" si="1"/>
        <v>4.6597719300516455E-2</v>
      </c>
    </row>
    <row r="14" spans="1:23" x14ac:dyDescent="0.3">
      <c r="A14" s="27" t="s">
        <v>1427</v>
      </c>
      <c r="B14" s="27" t="s">
        <v>128</v>
      </c>
      <c r="C14" s="27" t="s">
        <v>1383</v>
      </c>
      <c r="D14" s="27">
        <v>2014</v>
      </c>
      <c r="E14" s="83" t="s">
        <v>511</v>
      </c>
      <c r="F14" s="29">
        <v>615.20000000000005</v>
      </c>
      <c r="G14" s="29">
        <v>580</v>
      </c>
      <c r="H14" s="81">
        <f t="shared" si="0"/>
        <v>94.27828348504552</v>
      </c>
      <c r="I14" s="66">
        <v>2145</v>
      </c>
      <c r="J14" s="66">
        <v>503</v>
      </c>
      <c r="K14" s="66">
        <v>2688</v>
      </c>
      <c r="L14" s="66">
        <v>23.2</v>
      </c>
      <c r="M14" s="82">
        <f t="shared" si="1"/>
        <v>4.3952579713307932E-2</v>
      </c>
    </row>
    <row r="15" spans="1:23" x14ac:dyDescent="0.3">
      <c r="A15" s="27" t="s">
        <v>1420</v>
      </c>
      <c r="B15" s="27" t="s">
        <v>19</v>
      </c>
      <c r="C15" s="27" t="s">
        <v>1369</v>
      </c>
      <c r="D15" s="27">
        <v>2015</v>
      </c>
      <c r="E15" s="83" t="s">
        <v>511</v>
      </c>
      <c r="F15" s="29">
        <v>331.9</v>
      </c>
      <c r="G15" s="29">
        <v>330</v>
      </c>
      <c r="H15" s="81">
        <f t="shared" si="0"/>
        <v>99.427538415185296</v>
      </c>
      <c r="I15" s="66">
        <v>2298</v>
      </c>
      <c r="J15" s="66">
        <v>445</v>
      </c>
      <c r="K15" s="66">
        <v>2956</v>
      </c>
      <c r="L15" s="66">
        <v>19.399999999999999</v>
      </c>
      <c r="M15" s="82">
        <f t="shared" si="1"/>
        <v>4.3266987996164186E-2</v>
      </c>
      <c r="P15" s="67"/>
      <c r="Q15" s="68"/>
      <c r="R15" s="55"/>
      <c r="S15" s="55"/>
      <c r="T15" s="55" t="s">
        <v>1348</v>
      </c>
      <c r="U15" s="69"/>
      <c r="W15" s="55"/>
    </row>
    <row r="16" spans="1:23" x14ac:dyDescent="0.3">
      <c r="A16" s="80" t="s">
        <v>513</v>
      </c>
      <c r="B16" s="80" t="s">
        <v>15</v>
      </c>
      <c r="C16" s="80" t="s">
        <v>514</v>
      </c>
      <c r="D16" s="80">
        <v>2014</v>
      </c>
      <c r="E16" s="80" t="s">
        <v>511</v>
      </c>
      <c r="F16" s="80">
        <v>38</v>
      </c>
      <c r="G16" s="80">
        <v>34</v>
      </c>
      <c r="H16" s="81">
        <f t="shared" si="0"/>
        <v>89.473684210526315</v>
      </c>
      <c r="I16" s="81">
        <v>2170</v>
      </c>
      <c r="J16" s="83">
        <v>476</v>
      </c>
      <c r="K16" s="83">
        <v>2791</v>
      </c>
      <c r="L16" s="83">
        <v>18.2</v>
      </c>
      <c r="M16" s="82">
        <f t="shared" si="1"/>
        <v>4.123211253941305E-2</v>
      </c>
      <c r="P16" s="67"/>
      <c r="Q16" s="68"/>
      <c r="R16" s="55"/>
      <c r="S16" s="55"/>
      <c r="T16" s="55" t="s">
        <v>1348</v>
      </c>
      <c r="U16" s="69"/>
      <c r="W16" s="55"/>
    </row>
    <row r="17" spans="1:23" x14ac:dyDescent="0.3">
      <c r="A17" s="80" t="s">
        <v>534</v>
      </c>
      <c r="B17" s="80" t="s">
        <v>519</v>
      </c>
      <c r="C17" s="80" t="s">
        <v>1428</v>
      </c>
      <c r="D17" s="80">
        <v>2013</v>
      </c>
      <c r="E17" s="80" t="s">
        <v>511</v>
      </c>
      <c r="F17" s="80">
        <v>220</v>
      </c>
      <c r="G17" s="80">
        <v>166</v>
      </c>
      <c r="H17" s="81">
        <f t="shared" si="0"/>
        <v>75.454545454545453</v>
      </c>
      <c r="I17" s="81">
        <v>1838</v>
      </c>
      <c r="J17" s="83">
        <v>605</v>
      </c>
      <c r="K17" s="83">
        <v>2064</v>
      </c>
      <c r="L17" s="83">
        <v>17.8</v>
      </c>
      <c r="M17" s="82">
        <f t="shared" si="1"/>
        <v>4.1052527450786427E-2</v>
      </c>
      <c r="P17" s="68"/>
      <c r="Q17" s="68"/>
      <c r="R17" s="55"/>
      <c r="S17" s="55"/>
      <c r="T17" s="55" t="s">
        <v>1348</v>
      </c>
      <c r="U17" s="69"/>
      <c r="W17" s="55"/>
    </row>
    <row r="18" spans="1:23" x14ac:dyDescent="0.3">
      <c r="A18" s="27" t="s">
        <v>1359</v>
      </c>
      <c r="B18" s="27" t="s">
        <v>2</v>
      </c>
      <c r="C18" s="27" t="s">
        <v>1360</v>
      </c>
      <c r="D18" s="27">
        <v>2014</v>
      </c>
      <c r="E18" s="83" t="s">
        <v>511</v>
      </c>
      <c r="F18" s="29">
        <v>2.6</v>
      </c>
      <c r="G18" s="29">
        <v>1.5</v>
      </c>
      <c r="H18" s="81">
        <f t="shared" si="0"/>
        <v>57.692307692307693</v>
      </c>
      <c r="I18" s="66">
        <v>1409</v>
      </c>
      <c r="J18" s="66">
        <v>511</v>
      </c>
      <c r="K18" s="66">
        <v>1749</v>
      </c>
      <c r="L18" s="66">
        <v>7.7</v>
      </c>
      <c r="M18" s="82">
        <f t="shared" si="1"/>
        <v>4.0945569689359612E-2</v>
      </c>
      <c r="P18" s="68"/>
      <c r="Q18" s="68"/>
      <c r="R18" s="55"/>
      <c r="S18" s="55"/>
      <c r="T18" s="55" t="s">
        <v>1348</v>
      </c>
      <c r="U18" s="69"/>
      <c r="W18" s="55"/>
    </row>
    <row r="19" spans="1:23" x14ac:dyDescent="0.3">
      <c r="A19" s="27" t="s">
        <v>1380</v>
      </c>
      <c r="B19" s="27" t="s">
        <v>1381</v>
      </c>
      <c r="C19" s="27" t="s">
        <v>1382</v>
      </c>
      <c r="D19" s="27">
        <v>2013</v>
      </c>
      <c r="E19" s="83" t="s">
        <v>511</v>
      </c>
      <c r="F19" s="29">
        <v>235.1</v>
      </c>
      <c r="G19" s="29">
        <v>210</v>
      </c>
      <c r="H19" s="81">
        <f t="shared" si="0"/>
        <v>89.323692045937904</v>
      </c>
      <c r="I19" s="66">
        <v>2233</v>
      </c>
      <c r="J19" s="66">
        <v>863</v>
      </c>
      <c r="K19" s="66">
        <v>2019</v>
      </c>
      <c r="L19" s="66">
        <v>27.8</v>
      </c>
      <c r="M19" s="82">
        <f t="shared" si="1"/>
        <v>4.0001653401673935E-2</v>
      </c>
      <c r="P19" s="68"/>
      <c r="Q19" s="68"/>
      <c r="R19" s="55"/>
      <c r="S19" s="55"/>
      <c r="T19" s="55" t="s">
        <v>1348</v>
      </c>
      <c r="U19" s="69"/>
      <c r="W19" s="55"/>
    </row>
    <row r="20" spans="1:23" x14ac:dyDescent="0.3">
      <c r="A20" s="27" t="s">
        <v>1423</v>
      </c>
      <c r="B20" s="27" t="s">
        <v>519</v>
      </c>
      <c r="C20" s="27" t="s">
        <v>1372</v>
      </c>
      <c r="D20" s="27">
        <v>2013</v>
      </c>
      <c r="E20" s="83" t="s">
        <v>511</v>
      </c>
      <c r="F20" s="29">
        <v>148.30000000000001</v>
      </c>
      <c r="G20" s="29">
        <v>100</v>
      </c>
      <c r="H20" s="81">
        <f t="shared" si="0"/>
        <v>67.430883344571811</v>
      </c>
      <c r="I20" s="66">
        <v>1777</v>
      </c>
      <c r="J20" s="66">
        <v>608</v>
      </c>
      <c r="K20" s="66">
        <v>1990</v>
      </c>
      <c r="L20" s="66">
        <v>14.1</v>
      </c>
      <c r="M20" s="82">
        <f t="shared" si="1"/>
        <v>3.7946473463461909E-2</v>
      </c>
      <c r="P20" s="68"/>
      <c r="Q20" s="68"/>
      <c r="R20" s="55"/>
      <c r="S20" s="55"/>
      <c r="T20" s="55" t="s">
        <v>1348</v>
      </c>
      <c r="U20" s="69"/>
      <c r="W20" s="55"/>
    </row>
    <row r="21" spans="1:23" x14ac:dyDescent="0.3">
      <c r="A21" s="27" t="s">
        <v>1363</v>
      </c>
      <c r="B21" s="27" t="s">
        <v>9</v>
      </c>
      <c r="C21" s="27" t="s">
        <v>1364</v>
      </c>
      <c r="D21" s="27">
        <v>2013</v>
      </c>
      <c r="E21" s="83" t="s">
        <v>511</v>
      </c>
      <c r="F21" s="29">
        <v>157.6</v>
      </c>
      <c r="G21" s="29">
        <v>118</v>
      </c>
      <c r="H21" s="81">
        <f t="shared" si="0"/>
        <v>74.873096446700501</v>
      </c>
      <c r="I21" s="66">
        <v>2001</v>
      </c>
      <c r="J21" s="66">
        <v>902</v>
      </c>
      <c r="K21" s="66">
        <v>1667</v>
      </c>
      <c r="L21" s="66">
        <v>26.6</v>
      </c>
      <c r="M21" s="82">
        <f t="shared" si="1"/>
        <v>3.7417839303698401E-2</v>
      </c>
      <c r="P21" s="68"/>
      <c r="Q21" s="68"/>
      <c r="R21" s="55"/>
      <c r="S21" s="55"/>
      <c r="T21" s="55" t="s">
        <v>1348</v>
      </c>
      <c r="U21" s="69"/>
      <c r="W21" s="55"/>
    </row>
    <row r="22" spans="1:23" x14ac:dyDescent="0.3">
      <c r="A22" s="27" t="s">
        <v>1374</v>
      </c>
      <c r="B22" s="27" t="s">
        <v>519</v>
      </c>
      <c r="C22" s="27" t="s">
        <v>1375</v>
      </c>
      <c r="D22" s="27">
        <v>2013</v>
      </c>
      <c r="E22" s="83" t="s">
        <v>511</v>
      </c>
      <c r="F22" s="29">
        <v>612.70000000000005</v>
      </c>
      <c r="G22" s="29">
        <v>400</v>
      </c>
      <c r="H22" s="81">
        <f t="shared" si="0"/>
        <v>65.284804961645179</v>
      </c>
      <c r="I22" s="66">
        <v>1774</v>
      </c>
      <c r="J22" s="66">
        <v>550</v>
      </c>
      <c r="K22" s="66">
        <v>2076</v>
      </c>
      <c r="L22" s="66">
        <v>15.5</v>
      </c>
      <c r="M22" s="82">
        <f t="shared" si="1"/>
        <v>3.6800904713441475E-2</v>
      </c>
      <c r="P22" s="68"/>
      <c r="Q22" s="68"/>
      <c r="R22" s="55"/>
      <c r="S22" s="55"/>
      <c r="T22" s="55" t="s">
        <v>1348</v>
      </c>
      <c r="U22" s="69"/>
      <c r="W22" s="55"/>
    </row>
    <row r="23" spans="1:23" x14ac:dyDescent="0.3">
      <c r="A23" s="27" t="s">
        <v>1425</v>
      </c>
      <c r="B23" s="27" t="s">
        <v>128</v>
      </c>
      <c r="C23" s="27" t="s">
        <v>1384</v>
      </c>
      <c r="D23" s="27">
        <v>2015</v>
      </c>
      <c r="E23" s="83" t="s">
        <v>511</v>
      </c>
      <c r="F23" s="29">
        <v>914.8</v>
      </c>
      <c r="G23" s="29">
        <v>600</v>
      </c>
      <c r="H23" s="81">
        <f t="shared" si="0"/>
        <v>65.588106689986887</v>
      </c>
      <c r="I23" s="66">
        <v>2167</v>
      </c>
      <c r="J23" s="66">
        <v>444</v>
      </c>
      <c r="K23" s="66">
        <v>2886</v>
      </c>
      <c r="L23" s="66">
        <v>18.399999999999999</v>
      </c>
      <c r="M23" s="82">
        <f t="shared" si="1"/>
        <v>3.0266777429620161E-2</v>
      </c>
      <c r="P23" s="68"/>
      <c r="Q23" s="68"/>
      <c r="R23" s="55"/>
      <c r="S23" s="55"/>
      <c r="T23" s="55" t="s">
        <v>1348</v>
      </c>
      <c r="U23" s="69"/>
      <c r="W23" s="55"/>
    </row>
    <row r="24" spans="1:23" x14ac:dyDescent="0.3">
      <c r="A24" s="27" t="s">
        <v>1424</v>
      </c>
      <c r="B24" s="27" t="s">
        <v>519</v>
      </c>
      <c r="C24" s="27" t="s">
        <v>1373</v>
      </c>
      <c r="D24" s="27">
        <v>2017</v>
      </c>
      <c r="E24" s="83" t="s">
        <v>511</v>
      </c>
      <c r="F24" s="29">
        <v>437</v>
      </c>
      <c r="G24" s="29">
        <v>194</v>
      </c>
      <c r="H24" s="81">
        <f t="shared" si="0"/>
        <v>44.393592677345538</v>
      </c>
      <c r="I24" s="66">
        <v>1802</v>
      </c>
      <c r="J24" s="66">
        <v>574</v>
      </c>
      <c r="K24" s="66">
        <v>2092</v>
      </c>
      <c r="L24" s="66">
        <v>14.6</v>
      </c>
      <c r="M24" s="82">
        <f t="shared" si="1"/>
        <v>2.4635734005186202E-2</v>
      </c>
      <c r="P24" s="68"/>
      <c r="Q24" s="68"/>
      <c r="R24" s="55"/>
      <c r="S24" s="55"/>
      <c r="T24" s="55" t="s">
        <v>1348</v>
      </c>
      <c r="U24" s="69"/>
      <c r="W24" s="55"/>
    </row>
    <row r="25" spans="1:23" x14ac:dyDescent="0.3">
      <c r="A25" s="27" t="s">
        <v>1365</v>
      </c>
      <c r="B25" s="27" t="s">
        <v>509</v>
      </c>
      <c r="C25" s="27" t="s">
        <v>1366</v>
      </c>
      <c r="D25" s="27">
        <v>2013</v>
      </c>
      <c r="E25" s="83" t="s">
        <v>511</v>
      </c>
      <c r="F25" s="29">
        <v>1.1000000000000001</v>
      </c>
      <c r="G25" s="29">
        <v>0.27500000000000002</v>
      </c>
      <c r="H25" s="81">
        <f t="shared" si="0"/>
        <v>25</v>
      </c>
      <c r="I25" s="66">
        <v>1543</v>
      </c>
      <c r="J25" s="66">
        <v>605</v>
      </c>
      <c r="K25" s="66">
        <v>1608</v>
      </c>
      <c r="L25" s="66">
        <v>13</v>
      </c>
      <c r="M25" s="82">
        <f t="shared" si="1"/>
        <v>1.6202203499675955E-2</v>
      </c>
      <c r="P25" s="68"/>
      <c r="Q25" s="68"/>
      <c r="R25" s="55"/>
      <c r="S25" s="55"/>
      <c r="T25" s="55" t="s">
        <v>1348</v>
      </c>
      <c r="U25" s="69"/>
      <c r="W25" s="55"/>
    </row>
    <row r="26" spans="1:23" x14ac:dyDescent="0.3">
      <c r="A26" s="80" t="s">
        <v>523</v>
      </c>
      <c r="B26" s="80" t="s">
        <v>522</v>
      </c>
      <c r="C26" s="80" t="s">
        <v>1429</v>
      </c>
      <c r="D26" s="80">
        <v>2015</v>
      </c>
      <c r="E26" s="80" t="s">
        <v>517</v>
      </c>
      <c r="F26" s="80">
        <v>634</v>
      </c>
      <c r="G26" s="80">
        <v>500</v>
      </c>
      <c r="H26" s="81">
        <f t="shared" si="0"/>
        <v>78.864353312302839</v>
      </c>
      <c r="I26" s="81">
        <v>2023</v>
      </c>
      <c r="J26" s="83">
        <v>434</v>
      </c>
      <c r="K26" s="83">
        <v>2743</v>
      </c>
      <c r="L26" s="83">
        <v>12.3</v>
      </c>
      <c r="M26" s="82">
        <f t="shared" si="1"/>
        <v>3.8983862240386968E-2</v>
      </c>
      <c r="P26" s="68"/>
      <c r="Q26" s="68"/>
      <c r="R26" s="55"/>
      <c r="S26" s="55"/>
      <c r="T26" s="55" t="s">
        <v>1348</v>
      </c>
      <c r="U26" s="69"/>
      <c r="W26" s="55"/>
    </row>
    <row r="27" spans="1:23" x14ac:dyDescent="0.3">
      <c r="A27" s="80" t="s">
        <v>516</v>
      </c>
      <c r="B27" s="80" t="s">
        <v>19</v>
      </c>
      <c r="C27" s="80" t="s">
        <v>518</v>
      </c>
      <c r="D27" s="80">
        <v>2016</v>
      </c>
      <c r="E27" s="80" t="s">
        <v>517</v>
      </c>
      <c r="F27" s="80">
        <v>300</v>
      </c>
      <c r="G27" s="80">
        <v>180</v>
      </c>
      <c r="H27" s="81">
        <f t="shared" si="0"/>
        <v>60</v>
      </c>
      <c r="I27" s="81">
        <v>2279</v>
      </c>
      <c r="J27" s="83">
        <v>443</v>
      </c>
      <c r="K27" s="83">
        <v>2952</v>
      </c>
      <c r="L27" s="83">
        <v>19.8</v>
      </c>
      <c r="M27" s="82">
        <f t="shared" si="1"/>
        <v>2.6327336551118911E-2</v>
      </c>
      <c r="P27" s="68"/>
      <c r="Q27" s="68"/>
      <c r="R27" s="55"/>
      <c r="S27" s="55"/>
      <c r="T27" s="55" t="s">
        <v>1348</v>
      </c>
      <c r="U27" s="69"/>
      <c r="W27" s="55"/>
    </row>
    <row r="28" spans="1:23" x14ac:dyDescent="0.3">
      <c r="A28" s="80" t="s">
        <v>524</v>
      </c>
      <c r="B28" s="80" t="s">
        <v>4</v>
      </c>
      <c r="C28" s="80" t="s">
        <v>525</v>
      </c>
      <c r="D28" s="80">
        <v>2012</v>
      </c>
      <c r="E28" s="80" t="s">
        <v>517</v>
      </c>
      <c r="F28" s="81">
        <f>13*4046.86/10000</f>
        <v>5.2609180000000002</v>
      </c>
      <c r="G28" s="80">
        <v>1.95</v>
      </c>
      <c r="H28" s="81">
        <f t="shared" si="0"/>
        <v>37.065774452291407</v>
      </c>
      <c r="I28" s="81">
        <v>1494</v>
      </c>
      <c r="J28" s="83">
        <v>718</v>
      </c>
      <c r="K28" s="83">
        <v>1367</v>
      </c>
      <c r="L28" s="83">
        <v>8.1999999999999993</v>
      </c>
      <c r="M28" s="82">
        <f t="shared" si="1"/>
        <v>2.4809755322818882E-2</v>
      </c>
      <c r="P28" s="68"/>
      <c r="Q28" s="68"/>
      <c r="R28" s="55"/>
      <c r="S28" s="55"/>
      <c r="T28" s="55" t="s">
        <v>1348</v>
      </c>
      <c r="U28" s="69"/>
      <c r="W28" s="55"/>
    </row>
    <row r="29" spans="1:23" x14ac:dyDescent="0.3">
      <c r="A29" s="80" t="s">
        <v>520</v>
      </c>
      <c r="B29" s="80" t="s">
        <v>519</v>
      </c>
      <c r="C29" s="80" t="s">
        <v>521</v>
      </c>
      <c r="D29" s="80">
        <v>2007</v>
      </c>
      <c r="E29" s="80" t="s">
        <v>517</v>
      </c>
      <c r="F29" s="80">
        <v>55</v>
      </c>
      <c r="G29" s="80">
        <v>23.4</v>
      </c>
      <c r="H29" s="81">
        <f t="shared" si="0"/>
        <v>42.545454545454547</v>
      </c>
      <c r="I29" s="81">
        <v>1832</v>
      </c>
      <c r="J29" s="83">
        <v>592</v>
      </c>
      <c r="K29" s="83">
        <v>2077</v>
      </c>
      <c r="L29" s="83">
        <v>17.899999999999999</v>
      </c>
      <c r="M29" s="82">
        <f t="shared" si="1"/>
        <v>2.3223501389440255E-2</v>
      </c>
      <c r="P29" s="68"/>
      <c r="Q29" s="68"/>
      <c r="R29" s="55"/>
      <c r="S29" s="55"/>
      <c r="T29" s="55" t="s">
        <v>1348</v>
      </c>
      <c r="U29" s="69"/>
      <c r="W29" s="55"/>
    </row>
    <row r="30" spans="1:23" x14ac:dyDescent="0.3">
      <c r="A30" s="80" t="s">
        <v>526</v>
      </c>
      <c r="B30" s="80" t="s">
        <v>519</v>
      </c>
      <c r="C30" s="80" t="s">
        <v>527</v>
      </c>
      <c r="D30" s="80">
        <v>2011</v>
      </c>
      <c r="E30" s="80" t="s">
        <v>517</v>
      </c>
      <c r="F30" s="80">
        <v>195</v>
      </c>
      <c r="G30" s="80">
        <v>80</v>
      </c>
      <c r="H30" s="81">
        <f t="shared" si="0"/>
        <v>41.025641025641029</v>
      </c>
      <c r="I30" s="81">
        <v>1829</v>
      </c>
      <c r="J30" s="83">
        <v>593</v>
      </c>
      <c r="K30" s="83">
        <v>2072</v>
      </c>
      <c r="L30" s="83">
        <v>17.899999999999999</v>
      </c>
      <c r="M30" s="82">
        <f t="shared" si="1"/>
        <v>2.2430640254587769E-2</v>
      </c>
      <c r="P30" s="68"/>
      <c r="Q30" s="68"/>
      <c r="R30" s="55"/>
      <c r="S30" s="55"/>
      <c r="T30" s="55" t="s">
        <v>1348</v>
      </c>
      <c r="U30" s="69"/>
      <c r="W30" s="55"/>
    </row>
    <row r="31" spans="1:23" x14ac:dyDescent="0.3">
      <c r="A31" s="80" t="s">
        <v>528</v>
      </c>
      <c r="B31" s="80" t="s">
        <v>522</v>
      </c>
      <c r="C31" s="80" t="s">
        <v>529</v>
      </c>
      <c r="D31" s="80">
        <v>2014</v>
      </c>
      <c r="E31" s="80" t="s">
        <v>517</v>
      </c>
      <c r="F31" s="80">
        <v>3500</v>
      </c>
      <c r="G31" s="80">
        <f>1079</f>
        <v>1079</v>
      </c>
      <c r="H31" s="81">
        <f t="shared" si="0"/>
        <v>30.828571428571429</v>
      </c>
      <c r="I31" s="83">
        <v>2100</v>
      </c>
      <c r="J31" s="83">
        <v>461</v>
      </c>
      <c r="K31" s="83">
        <v>2779</v>
      </c>
      <c r="L31" s="83">
        <v>17.399999999999999</v>
      </c>
      <c r="M31" s="82">
        <f t="shared" si="1"/>
        <v>1.4680272108843538E-2</v>
      </c>
      <c r="P31" s="68"/>
      <c r="Q31" s="68"/>
      <c r="R31" s="55"/>
      <c r="S31" s="55"/>
      <c r="T31" s="55" t="s">
        <v>1348</v>
      </c>
      <c r="U31" s="69"/>
      <c r="W31" s="55"/>
    </row>
    <row r="33" spans="1:13" x14ac:dyDescent="0.3">
      <c r="E33" s="96"/>
    </row>
    <row r="34" spans="1:13" x14ac:dyDescent="0.3">
      <c r="A34" s="98" t="s">
        <v>1449</v>
      </c>
      <c r="L34" s="74" t="s">
        <v>1431</v>
      </c>
      <c r="M34" s="97">
        <f>MEDIAN(M2:M31)</f>
        <v>4.0746773317469218E-2</v>
      </c>
    </row>
    <row r="35" spans="1:13" x14ac:dyDescent="0.3">
      <c r="A35" s="54" t="s">
        <v>1450</v>
      </c>
      <c r="L35" s="74" t="s">
        <v>1433</v>
      </c>
      <c r="M35" s="97">
        <f>PERCENTILE(M2:M31,30%)</f>
        <v>3.6942214059730867E-2</v>
      </c>
    </row>
    <row r="36" spans="1:13" x14ac:dyDescent="0.3">
      <c r="A36" s="96" t="s">
        <v>1445</v>
      </c>
      <c r="L36" s="74" t="s">
        <v>1434</v>
      </c>
      <c r="M36" s="97">
        <f>PERCENTILE(M2:M31,70%)</f>
        <v>4.679186680855129E-2</v>
      </c>
    </row>
    <row r="37" spans="1:13" x14ac:dyDescent="0.3">
      <c r="A37" s="14"/>
      <c r="F37" s="96"/>
    </row>
    <row r="38" spans="1:13" x14ac:dyDescent="0.3">
      <c r="A38" s="54" t="s">
        <v>1448</v>
      </c>
      <c r="F38" s="96"/>
    </row>
    <row r="39" spans="1:13" x14ac:dyDescent="0.3">
      <c r="A39" s="96" t="s">
        <v>1441</v>
      </c>
    </row>
    <row r="41" spans="1:13" x14ac:dyDescent="0.3">
      <c r="A41" s="14" t="s">
        <v>1455</v>
      </c>
    </row>
  </sheetData>
  <sortState ref="A2:M31">
    <sortCondition ref="E2:E31"/>
    <sortCondition descending="1" ref="M2:M31"/>
  </sortState>
  <conditionalFormatting sqref="A40 A1:A33 A43:A1048576">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44"/>
  <sheetViews>
    <sheetView zoomScale="90" zoomScaleNormal="90" workbookViewId="0"/>
  </sheetViews>
  <sheetFormatPr defaultColWidth="9.109375" defaultRowHeight="14.4" x14ac:dyDescent="0.3"/>
  <cols>
    <col min="1" max="1" width="107.44140625" style="11" bestFit="1" customWidth="1"/>
    <col min="2" max="2" width="26.33203125" style="11" customWidth="1"/>
    <col min="3" max="3" width="16" style="11" customWidth="1"/>
    <col min="4" max="4" width="17.6640625" style="11" customWidth="1"/>
    <col min="5" max="5" width="15.44140625" style="11" customWidth="1"/>
    <col min="6" max="10" width="14.88671875" style="11" customWidth="1"/>
    <col min="11" max="11" width="16.6640625" style="11" customWidth="1"/>
    <col min="12" max="12" width="21" style="11" customWidth="1"/>
    <col min="13" max="13" width="4" style="11" customWidth="1"/>
    <col min="14" max="14" width="12.88671875" style="11" customWidth="1"/>
    <col min="15" max="15" width="5.6640625" style="11" customWidth="1"/>
    <col min="16" max="16" width="5.44140625" style="11" customWidth="1"/>
    <col min="17" max="16384" width="9.109375" style="11"/>
  </cols>
  <sheetData>
    <row r="1" spans="1:17" ht="26.25" customHeight="1" x14ac:dyDescent="0.3">
      <c r="A1" s="334"/>
      <c r="B1" s="335"/>
      <c r="C1" s="335" t="s">
        <v>539</v>
      </c>
      <c r="D1" s="335" t="s">
        <v>539</v>
      </c>
      <c r="E1" s="335" t="s">
        <v>539</v>
      </c>
      <c r="F1" s="335" t="s">
        <v>539</v>
      </c>
      <c r="G1" s="335" t="s">
        <v>540</v>
      </c>
      <c r="H1" s="335" t="s">
        <v>540</v>
      </c>
      <c r="I1" s="335" t="s">
        <v>541</v>
      </c>
      <c r="J1" s="335" t="s">
        <v>542</v>
      </c>
      <c r="K1" s="336" t="s">
        <v>543</v>
      </c>
      <c r="L1" s="337" t="s">
        <v>544</v>
      </c>
      <c r="M1" s="22"/>
      <c r="N1" s="22"/>
      <c r="O1" s="22"/>
    </row>
    <row r="2" spans="1:17" x14ac:dyDescent="0.3">
      <c r="A2" s="338" t="s">
        <v>545</v>
      </c>
      <c r="B2" s="339" t="s">
        <v>546</v>
      </c>
      <c r="C2" s="339" t="s">
        <v>547</v>
      </c>
      <c r="D2" s="339" t="s">
        <v>548</v>
      </c>
      <c r="E2" s="339" t="s">
        <v>549</v>
      </c>
      <c r="F2" s="339" t="s">
        <v>550</v>
      </c>
      <c r="G2" s="339" t="s">
        <v>547</v>
      </c>
      <c r="H2" s="339" t="s">
        <v>549</v>
      </c>
      <c r="I2" s="339"/>
      <c r="J2" s="339"/>
      <c r="K2" s="340" t="s">
        <v>551</v>
      </c>
      <c r="L2" s="341" t="s">
        <v>551</v>
      </c>
      <c r="M2" s="22"/>
      <c r="N2" s="22"/>
      <c r="O2" s="22"/>
    </row>
    <row r="3" spans="1:17" x14ac:dyDescent="0.3">
      <c r="A3" s="73" t="s">
        <v>1388</v>
      </c>
      <c r="B3" s="73" t="s">
        <v>552</v>
      </c>
      <c r="C3" s="73">
        <v>8.8000000000000007</v>
      </c>
      <c r="D3" s="73">
        <v>1.6</v>
      </c>
      <c r="E3" s="73"/>
      <c r="F3" s="73"/>
      <c r="G3" s="73"/>
      <c r="H3" s="73"/>
      <c r="I3" s="73"/>
      <c r="J3" s="73"/>
      <c r="K3" s="89">
        <f>C3+D3</f>
        <v>10.4</v>
      </c>
      <c r="L3" s="84">
        <f>K3*$F$33</f>
        <v>18.325991189427317</v>
      </c>
      <c r="M3" s="22"/>
      <c r="N3" s="22"/>
      <c r="O3" s="22"/>
    </row>
    <row r="4" spans="1:17" x14ac:dyDescent="0.3">
      <c r="A4" s="73" t="s">
        <v>1388</v>
      </c>
      <c r="B4" s="73" t="s">
        <v>553</v>
      </c>
      <c r="C4" s="73">
        <v>6.1</v>
      </c>
      <c r="D4" s="73">
        <v>1.6</v>
      </c>
      <c r="E4" s="73"/>
      <c r="F4" s="73"/>
      <c r="G4" s="73"/>
      <c r="H4" s="73"/>
      <c r="I4" s="73"/>
      <c r="J4" s="73"/>
      <c r="K4" s="89">
        <f>C4+D4</f>
        <v>7.6999999999999993</v>
      </c>
      <c r="L4" s="84">
        <f t="shared" ref="L4:L13" si="0">K4*$F$33</f>
        <v>13.568281938325994</v>
      </c>
      <c r="M4" s="22"/>
      <c r="N4" s="22"/>
      <c r="O4" s="22"/>
    </row>
    <row r="5" spans="1:17" x14ac:dyDescent="0.3">
      <c r="A5" s="73" t="s">
        <v>1389</v>
      </c>
      <c r="B5" s="73" t="s">
        <v>42</v>
      </c>
      <c r="C5" s="73"/>
      <c r="D5" s="73"/>
      <c r="E5" s="73"/>
      <c r="F5" s="73"/>
      <c r="G5" s="73"/>
      <c r="H5" s="73"/>
      <c r="I5" s="73">
        <v>442</v>
      </c>
      <c r="J5" s="73"/>
      <c r="K5" s="89">
        <f>I5/44</f>
        <v>10.045454545454545</v>
      </c>
      <c r="L5" s="84">
        <f t="shared" si="0"/>
        <v>17.701241489787748</v>
      </c>
      <c r="M5" s="22"/>
      <c r="N5" s="22"/>
      <c r="O5" s="22"/>
    </row>
    <row r="6" spans="1:17" x14ac:dyDescent="0.3">
      <c r="A6" s="73" t="s">
        <v>1390</v>
      </c>
      <c r="B6" s="73" t="s">
        <v>42</v>
      </c>
      <c r="C6" s="73"/>
      <c r="D6" s="73"/>
      <c r="E6" s="73"/>
      <c r="F6" s="73"/>
      <c r="G6" s="73"/>
      <c r="H6" s="73"/>
      <c r="I6" s="73">
        <v>390</v>
      </c>
      <c r="J6" s="73"/>
      <c r="K6" s="89">
        <f>I6/44</f>
        <v>8.8636363636363633</v>
      </c>
      <c r="L6" s="84">
        <f t="shared" si="0"/>
        <v>15.61874249098919</v>
      </c>
      <c r="M6" s="22"/>
      <c r="N6" s="22"/>
      <c r="O6" s="22"/>
    </row>
    <row r="7" spans="1:17" x14ac:dyDescent="0.3">
      <c r="A7" s="73" t="s">
        <v>1391</v>
      </c>
      <c r="B7" s="73" t="s">
        <v>42</v>
      </c>
      <c r="C7" s="73"/>
      <c r="D7" s="73"/>
      <c r="E7" s="73"/>
      <c r="F7" s="73"/>
      <c r="G7" s="73"/>
      <c r="H7" s="73"/>
      <c r="I7" s="73"/>
      <c r="J7" s="73">
        <v>610</v>
      </c>
      <c r="K7" s="89">
        <f>1/J7*3600</f>
        <v>5.9016393442622954</v>
      </c>
      <c r="L7" s="84">
        <f t="shared" si="0"/>
        <v>10.39936448328158</v>
      </c>
      <c r="M7" s="22"/>
      <c r="N7" s="22"/>
      <c r="O7" s="22"/>
    </row>
    <row r="8" spans="1:17" x14ac:dyDescent="0.3">
      <c r="A8" s="73" t="s">
        <v>1392</v>
      </c>
      <c r="B8" s="73" t="s">
        <v>42</v>
      </c>
      <c r="C8" s="73">
        <v>4.2</v>
      </c>
      <c r="D8" s="73"/>
      <c r="E8" s="73">
        <v>1.3</v>
      </c>
      <c r="F8" s="73"/>
      <c r="G8" s="73"/>
      <c r="H8" s="73"/>
      <c r="I8" s="73"/>
      <c r="J8" s="73"/>
      <c r="K8" s="89">
        <f>C8+E8</f>
        <v>5.5</v>
      </c>
      <c r="L8" s="84">
        <f t="shared" si="0"/>
        <v>9.6916299559471391</v>
      </c>
      <c r="M8" s="22"/>
      <c r="N8" s="22"/>
      <c r="O8" s="22"/>
    </row>
    <row r="9" spans="1:17" x14ac:dyDescent="0.3">
      <c r="A9" s="73" t="s">
        <v>1393</v>
      </c>
      <c r="B9" s="73" t="s">
        <v>554</v>
      </c>
      <c r="C9" s="73"/>
      <c r="D9" s="73"/>
      <c r="E9" s="73"/>
      <c r="F9" s="73">
        <v>8.81</v>
      </c>
      <c r="G9" s="73"/>
      <c r="H9" s="73"/>
      <c r="I9" s="73"/>
      <c r="J9" s="73"/>
      <c r="K9" s="89">
        <f>F9</f>
        <v>8.81</v>
      </c>
      <c r="L9" s="84">
        <f t="shared" si="0"/>
        <v>15.524229074889872</v>
      </c>
      <c r="M9" s="22"/>
      <c r="N9" s="22"/>
      <c r="O9" s="22"/>
    </row>
    <row r="10" spans="1:17" x14ac:dyDescent="0.3">
      <c r="A10" s="73" t="s">
        <v>1393</v>
      </c>
      <c r="B10" s="73" t="s">
        <v>555</v>
      </c>
      <c r="C10" s="73"/>
      <c r="D10" s="73"/>
      <c r="E10" s="73"/>
      <c r="F10" s="73">
        <v>5.25</v>
      </c>
      <c r="G10" s="73"/>
      <c r="H10" s="73">
        <v>366</v>
      </c>
      <c r="I10" s="73"/>
      <c r="J10" s="73"/>
      <c r="K10" s="89">
        <f>F10+H10/1000/1000*3600</f>
        <v>6.5676000000000005</v>
      </c>
      <c r="L10" s="84">
        <f t="shared" si="0"/>
        <v>11.572863436123351</v>
      </c>
      <c r="M10" s="22"/>
      <c r="N10" s="22"/>
      <c r="O10" s="22"/>
    </row>
    <row r="11" spans="1:17" x14ac:dyDescent="0.3">
      <c r="A11" s="73" t="s">
        <v>1781</v>
      </c>
      <c r="B11" s="73" t="s">
        <v>556</v>
      </c>
      <c r="C11" s="73"/>
      <c r="D11" s="73"/>
      <c r="E11" s="73"/>
      <c r="F11" s="73"/>
      <c r="G11" s="73">
        <v>1535</v>
      </c>
      <c r="H11" s="73"/>
      <c r="I11" s="73"/>
      <c r="J11" s="73"/>
      <c r="K11" s="89">
        <f>(G11+H11)/1000/1000*3600</f>
        <v>5.5259999999999998</v>
      </c>
      <c r="L11" s="84">
        <f t="shared" si="0"/>
        <v>9.7374449339207061</v>
      </c>
      <c r="M11" s="22"/>
      <c r="N11" s="22"/>
      <c r="O11" s="22"/>
    </row>
    <row r="12" spans="1:17" x14ac:dyDescent="0.3">
      <c r="A12" s="73" t="s">
        <v>1781</v>
      </c>
      <c r="B12" s="73" t="s">
        <v>557</v>
      </c>
      <c r="C12" s="73"/>
      <c r="D12" s="73"/>
      <c r="E12" s="73"/>
      <c r="F12" s="73"/>
      <c r="G12" s="73">
        <v>1750</v>
      </c>
      <c r="H12" s="73">
        <v>250</v>
      </c>
      <c r="I12" s="73"/>
      <c r="J12" s="73"/>
      <c r="K12" s="89">
        <f>(G12+H12)/1000/1000*3600</f>
        <v>7.2</v>
      </c>
      <c r="L12" s="84">
        <f t="shared" si="0"/>
        <v>12.687224669603527</v>
      </c>
      <c r="M12" s="22"/>
      <c r="N12" s="22"/>
      <c r="O12" s="22"/>
    </row>
    <row r="13" spans="1:17" x14ac:dyDescent="0.3">
      <c r="A13" s="73" t="s">
        <v>1781</v>
      </c>
      <c r="B13" s="73" t="s">
        <v>1394</v>
      </c>
      <c r="C13" s="87"/>
      <c r="D13" s="87"/>
      <c r="E13" s="87"/>
      <c r="F13" s="87"/>
      <c r="G13" s="73">
        <v>0</v>
      </c>
      <c r="H13" s="73">
        <v>1535</v>
      </c>
      <c r="I13" s="87"/>
      <c r="J13" s="87"/>
      <c r="K13" s="89">
        <v>5.5259999999999998</v>
      </c>
      <c r="L13" s="84">
        <f t="shared" si="0"/>
        <v>9.7374449339207061</v>
      </c>
      <c r="M13" s="22"/>
      <c r="N13" s="22"/>
      <c r="O13" s="22"/>
    </row>
    <row r="14" spans="1:17" x14ac:dyDescent="0.3">
      <c r="A14" s="22"/>
      <c r="B14" s="22"/>
      <c r="C14" s="22"/>
      <c r="D14" s="22"/>
      <c r="E14" s="22"/>
      <c r="F14" s="22"/>
      <c r="G14" s="22"/>
      <c r="H14" s="22"/>
      <c r="I14" s="22"/>
      <c r="J14" s="22"/>
      <c r="K14" s="85"/>
      <c r="L14" s="86"/>
      <c r="M14" s="22"/>
      <c r="N14" s="22"/>
      <c r="O14" s="22"/>
    </row>
    <row r="15" spans="1:17" x14ac:dyDescent="0.3">
      <c r="A15" s="22"/>
      <c r="B15" s="22"/>
      <c r="C15" s="22"/>
      <c r="D15" s="22"/>
      <c r="E15" s="22"/>
      <c r="F15" s="22"/>
      <c r="G15" s="22"/>
      <c r="H15" s="22"/>
      <c r="I15" s="22"/>
      <c r="J15" s="22"/>
      <c r="K15" s="327" t="s">
        <v>1431</v>
      </c>
      <c r="L15" s="327">
        <f>MEDIAN(L3:L13)</f>
        <v>12.687224669603527</v>
      </c>
      <c r="M15" s="22"/>
      <c r="N15" s="562" t="s">
        <v>1787</v>
      </c>
      <c r="O15" s="563"/>
      <c r="P15" s="563"/>
      <c r="Q15" s="564"/>
    </row>
    <row r="16" spans="1:17" x14ac:dyDescent="0.3">
      <c r="A16" s="22"/>
      <c r="B16" s="22"/>
      <c r="C16" s="22"/>
      <c r="D16" s="22"/>
      <c r="E16" s="22"/>
      <c r="F16" s="22"/>
      <c r="G16" s="22"/>
      <c r="H16" s="22"/>
      <c r="I16" s="22"/>
      <c r="J16" s="22"/>
      <c r="K16" s="90" t="s">
        <v>1433</v>
      </c>
      <c r="L16" s="90">
        <f>PERCENTILE(L3:L13,0.3)</f>
        <v>10.39936448328158</v>
      </c>
      <c r="M16" s="330"/>
      <c r="N16" s="333"/>
      <c r="O16" s="330"/>
      <c r="P16" s="333"/>
      <c r="Q16" s="331">
        <f>L16/20</f>
        <v>0.51996822416407906</v>
      </c>
    </row>
    <row r="17" spans="1:17" x14ac:dyDescent="0.3">
      <c r="A17" s="22"/>
      <c r="B17" s="22"/>
      <c r="C17" s="22"/>
      <c r="D17" s="22"/>
      <c r="E17" s="22"/>
      <c r="F17" s="22"/>
      <c r="G17" s="22"/>
      <c r="H17" s="22"/>
      <c r="I17" s="22"/>
      <c r="J17" s="22"/>
      <c r="K17" s="329" t="s">
        <v>1434</v>
      </c>
      <c r="L17" s="329">
        <f>PERCENTILE(L3:L13,0.7)</f>
        <v>15.524229074889872</v>
      </c>
      <c r="M17" s="138"/>
      <c r="N17" s="332"/>
      <c r="O17" s="138"/>
      <c r="P17" s="332"/>
      <c r="Q17" s="328">
        <f>L17/20</f>
        <v>0.77621145374449363</v>
      </c>
    </row>
    <row r="18" spans="1:17" ht="63.75" customHeight="1" x14ac:dyDescent="0.3">
      <c r="A18" s="22"/>
      <c r="B18" s="93" t="s">
        <v>1395</v>
      </c>
      <c r="C18" s="94" t="s">
        <v>1437</v>
      </c>
      <c r="D18" s="94" t="s">
        <v>1439</v>
      </c>
      <c r="E18" s="94" t="s">
        <v>1440</v>
      </c>
      <c r="F18" s="95" t="s">
        <v>1438</v>
      </c>
      <c r="H18" s="22"/>
      <c r="J18" s="22"/>
      <c r="K18" s="23"/>
      <c r="L18" s="22"/>
      <c r="M18" s="22"/>
      <c r="N18" s="22"/>
      <c r="O18" s="22"/>
    </row>
    <row r="19" spans="1:17" x14ac:dyDescent="0.3">
      <c r="A19" s="22"/>
      <c r="B19" s="73" t="s">
        <v>558</v>
      </c>
      <c r="C19" s="73">
        <v>1</v>
      </c>
      <c r="D19" s="73">
        <v>12</v>
      </c>
      <c r="E19" s="73">
        <f>C19*D19</f>
        <v>12</v>
      </c>
      <c r="F19" s="91">
        <f>E19/$E$23</f>
        <v>0.48057669203043657</v>
      </c>
      <c r="H19" s="22"/>
      <c r="J19" s="22"/>
      <c r="K19" s="23"/>
      <c r="L19" s="22"/>
      <c r="M19" s="22"/>
      <c r="N19" s="22"/>
      <c r="O19" s="22"/>
    </row>
    <row r="20" spans="1:17" x14ac:dyDescent="0.3">
      <c r="A20" s="22"/>
      <c r="B20" s="73" t="s">
        <v>559</v>
      </c>
      <c r="C20" s="73">
        <v>1.77</v>
      </c>
      <c r="D20" s="73">
        <v>1</v>
      </c>
      <c r="E20" s="73">
        <f>C20*D20</f>
        <v>1.77</v>
      </c>
      <c r="F20" s="92">
        <f>E20/$E$23</f>
        <v>7.0885062074489386E-2</v>
      </c>
      <c r="H20" s="22"/>
      <c r="J20" s="22"/>
      <c r="K20" s="23"/>
      <c r="L20" s="22"/>
      <c r="M20" s="22"/>
      <c r="N20" s="22"/>
      <c r="O20" s="22"/>
    </row>
    <row r="21" spans="1:17" x14ac:dyDescent="0.3">
      <c r="A21" s="22"/>
      <c r="B21" s="73" t="s">
        <v>560</v>
      </c>
      <c r="C21" s="73">
        <v>0.49</v>
      </c>
      <c r="D21" s="73">
        <v>16</v>
      </c>
      <c r="E21" s="73">
        <f>C21*D21</f>
        <v>7.84</v>
      </c>
      <c r="F21" s="92">
        <f>E21/$E$23</f>
        <v>0.3139767721265519</v>
      </c>
      <c r="H21" s="22"/>
      <c r="J21" s="22"/>
      <c r="K21" s="23"/>
      <c r="L21" s="22"/>
      <c r="M21" s="22"/>
      <c r="N21" s="22"/>
      <c r="O21" s="22"/>
    </row>
    <row r="22" spans="1:17" x14ac:dyDescent="0.3">
      <c r="A22" s="22"/>
      <c r="B22" s="73" t="s">
        <v>561</v>
      </c>
      <c r="C22" s="73">
        <v>0.24</v>
      </c>
      <c r="D22" s="73">
        <v>14</v>
      </c>
      <c r="E22" s="73">
        <f>C22*D22</f>
        <v>3.36</v>
      </c>
      <c r="F22" s="92">
        <f>E22/$E$23</f>
        <v>0.13456147376852223</v>
      </c>
      <c r="H22" s="22"/>
      <c r="J22" s="22"/>
      <c r="K22" s="23"/>
      <c r="L22" s="22"/>
      <c r="M22" s="22"/>
      <c r="N22" s="22"/>
      <c r="O22" s="22"/>
    </row>
    <row r="23" spans="1:17" x14ac:dyDescent="0.3">
      <c r="A23" s="22"/>
      <c r="B23" s="22"/>
      <c r="C23" s="22"/>
      <c r="D23" s="73" t="s">
        <v>1435</v>
      </c>
      <c r="E23" s="73">
        <f>SUM(E19:E22)</f>
        <v>24.97</v>
      </c>
      <c r="F23" s="22"/>
      <c r="G23" s="22"/>
      <c r="H23" s="22"/>
      <c r="J23" s="22"/>
      <c r="K23" s="22"/>
      <c r="L23" s="22"/>
      <c r="M23" s="22"/>
      <c r="N23" s="22"/>
      <c r="O23" s="22"/>
    </row>
    <row r="24" spans="1:17" x14ac:dyDescent="0.3">
      <c r="A24" s="22"/>
      <c r="H24" s="22"/>
      <c r="J24" s="22"/>
      <c r="K24" s="23"/>
      <c r="L24" s="22"/>
      <c r="M24" s="22"/>
      <c r="N24" s="22"/>
      <c r="O24" s="22"/>
    </row>
    <row r="25" spans="1:17" x14ac:dyDescent="0.3">
      <c r="A25" s="22"/>
      <c r="B25" s="24" t="s">
        <v>562</v>
      </c>
      <c r="C25" s="22"/>
      <c r="D25" s="22"/>
      <c r="E25" s="22"/>
      <c r="F25" s="22"/>
      <c r="G25" s="22"/>
      <c r="H25" s="22"/>
      <c r="J25" s="22"/>
      <c r="K25" s="23"/>
      <c r="L25" s="22"/>
      <c r="M25" s="22"/>
      <c r="N25" s="22"/>
      <c r="O25" s="22"/>
    </row>
    <row r="26" spans="1:17" x14ac:dyDescent="0.3">
      <c r="A26" s="22"/>
      <c r="B26" s="73" t="s">
        <v>558</v>
      </c>
      <c r="C26" s="73">
        <v>1</v>
      </c>
      <c r="D26" s="73">
        <v>12</v>
      </c>
      <c r="E26" s="73">
        <f>C26*D26</f>
        <v>12</v>
      </c>
      <c r="F26" s="91">
        <f>E26/E28</f>
        <v>0.27272727272727271</v>
      </c>
      <c r="H26" s="22"/>
      <c r="J26" s="22"/>
      <c r="K26" s="23"/>
      <c r="L26" s="22"/>
      <c r="M26" s="22"/>
      <c r="N26" s="22"/>
      <c r="O26" s="22"/>
    </row>
    <row r="27" spans="1:17" x14ac:dyDescent="0.3">
      <c r="B27" s="73" t="s">
        <v>560</v>
      </c>
      <c r="C27" s="73">
        <v>2</v>
      </c>
      <c r="D27" s="73">
        <v>16</v>
      </c>
      <c r="E27" s="73">
        <f>C27*D27</f>
        <v>32</v>
      </c>
      <c r="F27" s="92">
        <f>E27/E28</f>
        <v>0.72727272727272729</v>
      </c>
      <c r="H27" s="22"/>
      <c r="I27" s="22"/>
      <c r="J27" s="22"/>
      <c r="K27" s="22"/>
      <c r="L27" s="22"/>
      <c r="M27" s="22"/>
      <c r="N27" s="22"/>
      <c r="O27" s="22"/>
    </row>
    <row r="28" spans="1:17" x14ac:dyDescent="0.3">
      <c r="B28" s="22"/>
      <c r="C28" s="22"/>
      <c r="D28" s="73" t="s">
        <v>1435</v>
      </c>
      <c r="E28" s="73">
        <f>SUM(E26:E27)</f>
        <v>44</v>
      </c>
      <c r="F28" s="22"/>
      <c r="G28" s="22"/>
      <c r="H28" s="22"/>
      <c r="I28" s="22"/>
      <c r="J28" s="22"/>
      <c r="K28" s="22"/>
      <c r="L28" s="22"/>
      <c r="M28" s="22"/>
      <c r="N28" s="22"/>
      <c r="O28" s="22"/>
    </row>
    <row r="29" spans="1:17" x14ac:dyDescent="0.3">
      <c r="B29" s="22" t="s">
        <v>42</v>
      </c>
      <c r="C29" s="22"/>
      <c r="D29" s="22"/>
      <c r="E29" s="22"/>
      <c r="F29" s="22"/>
      <c r="G29" s="22"/>
      <c r="H29" s="22"/>
      <c r="I29" s="22"/>
      <c r="J29" s="22"/>
      <c r="K29" s="22"/>
      <c r="L29" s="22"/>
      <c r="M29" s="22"/>
      <c r="N29" s="22"/>
      <c r="O29" s="22"/>
    </row>
    <row r="30" spans="1:17" x14ac:dyDescent="0.3">
      <c r="A30" s="22"/>
      <c r="B30" s="24" t="s">
        <v>1825</v>
      </c>
      <c r="E30" s="22"/>
      <c r="F30" s="22"/>
      <c r="G30" s="22"/>
      <c r="H30" s="22"/>
      <c r="I30" s="22"/>
      <c r="J30" s="22"/>
      <c r="K30" s="22"/>
      <c r="L30" s="22"/>
      <c r="M30" s="22"/>
      <c r="N30" s="22"/>
      <c r="O30" s="22"/>
    </row>
    <row r="31" spans="1:17" x14ac:dyDescent="0.3">
      <c r="A31" s="22"/>
      <c r="B31" s="73" t="s">
        <v>1826</v>
      </c>
      <c r="C31" s="333"/>
      <c r="D31" s="333"/>
      <c r="E31" s="330" t="s">
        <v>42</v>
      </c>
      <c r="F31" s="92">
        <f>F19</f>
        <v>0.48057669203043657</v>
      </c>
      <c r="G31" s="22"/>
      <c r="H31" s="22"/>
      <c r="I31" s="22"/>
      <c r="J31" s="22"/>
      <c r="K31" s="22"/>
      <c r="L31" s="22"/>
      <c r="M31" s="22"/>
      <c r="N31" s="22"/>
      <c r="O31" s="22"/>
    </row>
    <row r="32" spans="1:17" ht="16.2" x14ac:dyDescent="0.35">
      <c r="A32" s="22"/>
      <c r="B32" s="73" t="s">
        <v>1827</v>
      </c>
      <c r="C32" s="330"/>
      <c r="D32" s="330"/>
      <c r="E32" s="330"/>
      <c r="F32" s="352">
        <f>1/F26</f>
        <v>3.666666666666667</v>
      </c>
      <c r="G32" s="22"/>
      <c r="H32" s="22"/>
      <c r="I32" s="22"/>
      <c r="J32" s="22"/>
      <c r="K32" s="22"/>
      <c r="L32" s="22"/>
      <c r="M32" s="22"/>
      <c r="N32" s="22"/>
      <c r="O32" s="22"/>
    </row>
    <row r="33" spans="1:15" ht="16.2" x14ac:dyDescent="0.35">
      <c r="A33" s="22"/>
      <c r="B33" s="73" t="s">
        <v>1828</v>
      </c>
      <c r="C33" s="138"/>
      <c r="D33" s="138"/>
      <c r="E33" s="138"/>
      <c r="F33" s="409">
        <f>F31*F32</f>
        <v>1.7621145374449343</v>
      </c>
      <c r="G33" s="22"/>
      <c r="H33" s="22"/>
      <c r="I33" s="22"/>
      <c r="J33" s="22"/>
      <c r="K33" s="22"/>
      <c r="L33" s="22"/>
      <c r="M33" s="22"/>
      <c r="N33" s="22"/>
      <c r="O33" s="22"/>
    </row>
    <row r="34" spans="1:15" x14ac:dyDescent="0.3">
      <c r="A34" s="22"/>
      <c r="B34" s="310"/>
      <c r="C34" s="310"/>
      <c r="D34" s="310"/>
      <c r="E34" s="310"/>
      <c r="F34" s="310"/>
      <c r="G34" s="22"/>
      <c r="H34" s="22"/>
      <c r="I34" s="22"/>
      <c r="J34" s="22"/>
      <c r="K34" s="22"/>
      <c r="L34" s="22"/>
      <c r="M34" s="22"/>
      <c r="N34" s="22"/>
      <c r="O34" s="22"/>
    </row>
    <row r="35" spans="1:15" x14ac:dyDescent="0.3">
      <c r="A35" s="22"/>
      <c r="C35" s="22"/>
      <c r="D35" s="22"/>
      <c r="E35" s="22"/>
      <c r="F35" s="22"/>
      <c r="G35" s="22"/>
      <c r="H35" s="22"/>
      <c r="I35" s="22"/>
      <c r="J35" s="22"/>
      <c r="K35" s="22"/>
      <c r="L35" s="22"/>
      <c r="M35" s="22"/>
      <c r="N35" s="22"/>
      <c r="O35" s="22"/>
    </row>
    <row r="36" spans="1:15" ht="16.2" x14ac:dyDescent="0.35">
      <c r="A36" s="22"/>
      <c r="B36" s="75" t="s">
        <v>1396</v>
      </c>
      <c r="C36" s="22"/>
      <c r="D36" s="22"/>
      <c r="E36" s="22"/>
      <c r="F36" s="22"/>
      <c r="G36" s="22"/>
      <c r="H36" s="22"/>
      <c r="I36" s="22"/>
      <c r="J36" s="22"/>
      <c r="K36" s="22"/>
      <c r="L36" s="22"/>
      <c r="M36" s="22"/>
      <c r="N36" s="22"/>
      <c r="O36" s="22"/>
    </row>
    <row r="37" spans="1:15" x14ac:dyDescent="0.3">
      <c r="A37" s="22"/>
      <c r="B37" s="22" t="s">
        <v>1432</v>
      </c>
      <c r="C37" s="22" t="s">
        <v>42</v>
      </c>
      <c r="D37" s="22"/>
      <c r="E37" s="22"/>
      <c r="F37" s="22"/>
      <c r="G37" s="22"/>
      <c r="H37" s="22"/>
      <c r="I37" s="22"/>
      <c r="J37" s="22"/>
      <c r="K37" s="22"/>
      <c r="L37" s="22"/>
      <c r="M37" s="22"/>
      <c r="N37" s="22"/>
      <c r="O37" s="22"/>
    </row>
    <row r="38" spans="1:15" x14ac:dyDescent="0.3">
      <c r="C38" s="22"/>
    </row>
    <row r="39" spans="1:15" x14ac:dyDescent="0.3">
      <c r="C39" s="22"/>
    </row>
    <row r="40" spans="1:15" x14ac:dyDescent="0.3">
      <c r="C40" s="22" t="s">
        <v>42</v>
      </c>
    </row>
    <row r="41" spans="1:15" x14ac:dyDescent="0.3">
      <c r="C41" s="22"/>
    </row>
    <row r="42" spans="1:15" x14ac:dyDescent="0.3">
      <c r="C42" s="22"/>
    </row>
    <row r="43" spans="1:15" x14ac:dyDescent="0.3">
      <c r="C43" s="22"/>
    </row>
    <row r="44" spans="1:15" x14ac:dyDescent="0.3">
      <c r="C44" s="22"/>
    </row>
  </sheetData>
  <mergeCells count="1">
    <mergeCell ref="N15:Q1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T1012"/>
  <sheetViews>
    <sheetView zoomScale="85" zoomScaleNormal="85" workbookViewId="0"/>
  </sheetViews>
  <sheetFormatPr defaultColWidth="14.44140625" defaultRowHeight="13.8" x14ac:dyDescent="0.25"/>
  <cols>
    <col min="1" max="1" width="7" style="143" customWidth="1"/>
    <col min="2" max="2" width="14.44140625" style="143"/>
    <col min="3" max="3" width="20" style="143" customWidth="1"/>
    <col min="4" max="4" width="23.109375" style="143" customWidth="1"/>
    <col min="5" max="8" width="14.44140625" style="143"/>
    <col min="9" max="9" width="10.5546875" style="143" customWidth="1"/>
    <col min="10" max="10" width="19.109375" style="143" customWidth="1"/>
    <col min="11" max="11" width="30" style="143" customWidth="1"/>
    <col min="12" max="12" width="33" style="174" customWidth="1"/>
    <col min="13" max="13" width="17.6640625" style="231" customWidth="1"/>
    <col min="14" max="14" width="25.88671875" style="231" customWidth="1"/>
    <col min="15" max="15" width="27.88671875" style="288" customWidth="1"/>
    <col min="16" max="16" width="20.88671875" style="174" customWidth="1"/>
    <col min="17" max="17" width="20.5546875" style="174" customWidth="1"/>
    <col min="18" max="18" width="119.44140625" style="174" customWidth="1"/>
    <col min="19" max="16384" width="14.44140625" style="143"/>
  </cols>
  <sheetData>
    <row r="1" spans="2:19" x14ac:dyDescent="0.25">
      <c r="B1" s="114" t="s">
        <v>1637</v>
      </c>
      <c r="C1" s="115" t="s">
        <v>1465</v>
      </c>
      <c r="D1" s="116" t="s">
        <v>1444</v>
      </c>
      <c r="E1" s="117" t="s">
        <v>1710</v>
      </c>
      <c r="F1" s="117" t="s">
        <v>1711</v>
      </c>
      <c r="G1" s="116" t="s">
        <v>1638</v>
      </c>
      <c r="H1" s="305"/>
      <c r="I1" s="24"/>
      <c r="J1" s="114" t="s">
        <v>1637</v>
      </c>
      <c r="K1" s="115" t="s">
        <v>1465</v>
      </c>
      <c r="L1" s="192" t="s">
        <v>1444</v>
      </c>
      <c r="M1" s="211" t="s">
        <v>1710</v>
      </c>
      <c r="N1" s="211" t="s">
        <v>1711</v>
      </c>
      <c r="O1" s="280" t="s">
        <v>1638</v>
      </c>
      <c r="P1" s="614" t="s">
        <v>1633</v>
      </c>
      <c r="Q1" s="614"/>
      <c r="R1" s="169" t="s">
        <v>1639</v>
      </c>
    </row>
    <row r="2" spans="2:19" ht="27.6" x14ac:dyDescent="0.25">
      <c r="B2" s="565" t="s">
        <v>1643</v>
      </c>
      <c r="C2" s="119" t="s">
        <v>1708</v>
      </c>
      <c r="D2" s="144" t="s">
        <v>1656</v>
      </c>
      <c r="E2" s="120">
        <f>M6</f>
        <v>4.0255999999999998</v>
      </c>
      <c r="F2" s="120">
        <f>N6</f>
        <v>5.3992000000000004</v>
      </c>
      <c r="G2" s="109" t="s">
        <v>1700</v>
      </c>
      <c r="H2" s="306"/>
      <c r="I2" s="121" t="s">
        <v>42</v>
      </c>
      <c r="J2" s="565" t="s">
        <v>1643</v>
      </c>
      <c r="K2" s="579" t="s">
        <v>1708</v>
      </c>
      <c r="L2" s="191" t="s">
        <v>1644</v>
      </c>
      <c r="M2" s="212">
        <v>29.6</v>
      </c>
      <c r="N2" s="212">
        <v>39.700000000000003</v>
      </c>
      <c r="O2" s="273" t="s">
        <v>1645</v>
      </c>
      <c r="P2" s="615"/>
      <c r="Q2" s="615"/>
      <c r="R2" s="170" t="s">
        <v>1757</v>
      </c>
      <c r="S2" s="143" t="s">
        <v>42</v>
      </c>
    </row>
    <row r="3" spans="2:19" x14ac:dyDescent="0.25">
      <c r="B3" s="582"/>
      <c r="C3" s="110"/>
      <c r="G3" s="122"/>
      <c r="H3" s="150"/>
      <c r="I3" s="121" t="s">
        <v>42</v>
      </c>
      <c r="J3" s="582"/>
      <c r="K3" s="583"/>
      <c r="L3" s="193" t="s">
        <v>1650</v>
      </c>
      <c r="M3" s="213">
        <f>M2*17/14</f>
        <v>35.942857142857143</v>
      </c>
      <c r="N3" s="213">
        <f>N2*17/14</f>
        <v>48.207142857142863</v>
      </c>
      <c r="O3" s="274" t="s">
        <v>1651</v>
      </c>
      <c r="P3" s="595"/>
      <c r="Q3" s="595"/>
      <c r="R3" s="171"/>
    </row>
    <row r="4" spans="2:19" ht="27.6" x14ac:dyDescent="0.25">
      <c r="B4" s="582"/>
      <c r="C4" s="123" t="s">
        <v>1736</v>
      </c>
      <c r="D4" s="145" t="s">
        <v>1667</v>
      </c>
      <c r="E4" s="23">
        <f>M32</f>
        <v>0.70224000000000009</v>
      </c>
      <c r="F4" s="23">
        <f>N32</f>
        <v>1.097198490424462</v>
      </c>
      <c r="G4" s="122" t="s">
        <v>1700</v>
      </c>
      <c r="H4" s="150"/>
      <c r="I4" s="121" t="s">
        <v>42</v>
      </c>
      <c r="J4" s="582"/>
      <c r="K4" s="583"/>
      <c r="L4" s="173" t="s">
        <v>1712</v>
      </c>
      <c r="M4" s="214">
        <v>0.112</v>
      </c>
      <c r="N4" s="214">
        <v>0.112</v>
      </c>
      <c r="O4" s="274" t="s">
        <v>1654</v>
      </c>
      <c r="P4" s="616"/>
      <c r="Q4" s="616"/>
      <c r="R4" s="171" t="s">
        <v>1758</v>
      </c>
      <c r="S4" s="143" t="s">
        <v>42</v>
      </c>
    </row>
    <row r="5" spans="2:19" x14ac:dyDescent="0.25">
      <c r="B5" s="582"/>
      <c r="C5" s="123"/>
      <c r="D5" s="22"/>
      <c r="E5" s="124"/>
      <c r="F5" s="124"/>
      <c r="G5" s="122"/>
      <c r="H5" s="150"/>
      <c r="I5" s="121"/>
      <c r="J5" s="582"/>
      <c r="K5" s="583"/>
      <c r="L5" s="194"/>
      <c r="M5" s="215"/>
      <c r="N5" s="215"/>
      <c r="O5" s="275"/>
      <c r="P5" s="595"/>
      <c r="Q5" s="595"/>
      <c r="R5" s="171"/>
    </row>
    <row r="6" spans="2:19" ht="27" customHeight="1" x14ac:dyDescent="0.25">
      <c r="B6" s="582"/>
      <c r="C6" s="110" t="s">
        <v>1713</v>
      </c>
      <c r="D6" s="139" t="s">
        <v>1678</v>
      </c>
      <c r="E6" s="75">
        <f>M54</f>
        <v>3.6000000000000004E-2</v>
      </c>
      <c r="F6" s="126">
        <f>N54</f>
        <v>8.652E-2</v>
      </c>
      <c r="G6" s="127" t="s">
        <v>1700</v>
      </c>
      <c r="H6" s="150"/>
      <c r="I6" s="121" t="s">
        <v>42</v>
      </c>
      <c r="J6" s="582"/>
      <c r="K6" s="584"/>
      <c r="L6" s="195" t="s">
        <v>1714</v>
      </c>
      <c r="M6" s="216">
        <f>M3*M4</f>
        <v>4.0255999999999998</v>
      </c>
      <c r="N6" s="216">
        <f>N3*N4</f>
        <v>5.3992000000000004</v>
      </c>
      <c r="O6" s="276" t="s">
        <v>1657</v>
      </c>
      <c r="P6" s="593"/>
      <c r="Q6" s="593"/>
      <c r="R6" s="172"/>
    </row>
    <row r="7" spans="2:19" x14ac:dyDescent="0.25">
      <c r="B7" s="582"/>
      <c r="H7" s="150"/>
      <c r="I7" s="121" t="s">
        <v>42</v>
      </c>
      <c r="J7" s="582"/>
      <c r="K7" s="151"/>
      <c r="L7" s="173"/>
      <c r="M7" s="214"/>
      <c r="N7" s="214"/>
      <c r="O7" s="274"/>
      <c r="P7" s="173"/>
      <c r="Q7" s="173"/>
      <c r="R7" s="173"/>
    </row>
    <row r="8" spans="2:19" x14ac:dyDescent="0.25">
      <c r="B8" s="582"/>
      <c r="C8" s="128" t="s">
        <v>1683</v>
      </c>
      <c r="D8" s="22"/>
      <c r="E8" s="326">
        <f>E2+E4+E6</f>
        <v>4.7638399999999992</v>
      </c>
      <c r="F8" s="326">
        <f>F2+F4+F6</f>
        <v>6.5829184904244631</v>
      </c>
      <c r="G8" s="125" t="s">
        <v>1700</v>
      </c>
      <c r="H8" s="150"/>
      <c r="I8" s="121"/>
      <c r="J8" s="582"/>
      <c r="K8" s="151"/>
      <c r="L8" s="173"/>
      <c r="M8" s="214"/>
      <c r="N8" s="214"/>
      <c r="O8" s="274"/>
      <c r="P8" s="173"/>
      <c r="Q8" s="173"/>
      <c r="R8" s="173"/>
    </row>
    <row r="9" spans="2:19" x14ac:dyDescent="0.25">
      <c r="B9" s="566"/>
      <c r="C9" s="137" t="s">
        <v>1722</v>
      </c>
      <c r="E9" s="325">
        <f>E8/20</f>
        <v>0.23819199999999996</v>
      </c>
      <c r="F9" s="325">
        <f>F8/20</f>
        <v>0.32914592452122315</v>
      </c>
      <c r="G9" s="137" t="s">
        <v>1784</v>
      </c>
      <c r="H9" s="150"/>
      <c r="I9" s="121" t="s">
        <v>42</v>
      </c>
      <c r="J9" s="582"/>
      <c r="K9" s="151"/>
      <c r="L9" s="173"/>
      <c r="M9" s="217"/>
      <c r="N9" s="214"/>
      <c r="O9" s="274"/>
      <c r="P9" s="173"/>
      <c r="Q9" s="173"/>
      <c r="R9" s="173"/>
    </row>
    <row r="10" spans="2:19" ht="27.6" x14ac:dyDescent="0.25">
      <c r="B10" s="129"/>
      <c r="C10" s="108"/>
      <c r="D10" s="108"/>
      <c r="E10" s="108"/>
      <c r="F10" s="108"/>
      <c r="G10" s="108"/>
      <c r="H10" s="108"/>
      <c r="I10" s="121" t="s">
        <v>42</v>
      </c>
      <c r="J10" s="582"/>
      <c r="K10" s="152" t="s">
        <v>1465</v>
      </c>
      <c r="L10" s="192" t="s">
        <v>1640</v>
      </c>
      <c r="M10" s="192" t="s">
        <v>1641</v>
      </c>
      <c r="N10" s="192" t="s">
        <v>1715</v>
      </c>
      <c r="O10" s="281" t="s">
        <v>1642</v>
      </c>
      <c r="P10" s="192" t="s">
        <v>1716</v>
      </c>
      <c r="Q10" s="177" t="s">
        <v>1717</v>
      </c>
    </row>
    <row r="11" spans="2:19" x14ac:dyDescent="0.25">
      <c r="B11" s="114" t="s">
        <v>1637</v>
      </c>
      <c r="C11" s="115" t="s">
        <v>1465</v>
      </c>
      <c r="D11" s="115" t="s">
        <v>1444</v>
      </c>
      <c r="E11" s="118" t="s">
        <v>1710</v>
      </c>
      <c r="F11" s="118" t="s">
        <v>1711</v>
      </c>
      <c r="G11" s="115" t="s">
        <v>1638</v>
      </c>
      <c r="H11" s="307"/>
      <c r="I11" s="121" t="s">
        <v>42</v>
      </c>
      <c r="J11" s="582"/>
      <c r="K11" s="585" t="s">
        <v>1646</v>
      </c>
      <c r="L11" s="196" t="s">
        <v>1647</v>
      </c>
      <c r="M11" s="218" t="s">
        <v>1648</v>
      </c>
      <c r="N11" s="218" t="s">
        <v>1649</v>
      </c>
      <c r="O11" s="277">
        <v>33</v>
      </c>
      <c r="P11" s="295">
        <f>O11/0.182</f>
        <v>181.31868131868131</v>
      </c>
      <c r="Q11" s="296">
        <f>P11/1.38028</f>
        <v>131.36369527826335</v>
      </c>
    </row>
    <row r="12" spans="2:19" x14ac:dyDescent="0.25">
      <c r="B12" s="569" t="s">
        <v>1737</v>
      </c>
      <c r="C12" s="321" t="s">
        <v>1982</v>
      </c>
      <c r="D12" s="314"/>
      <c r="E12" s="315">
        <f>M62</f>
        <v>0.96</v>
      </c>
      <c r="F12" s="315">
        <f>N62</f>
        <v>7.2</v>
      </c>
      <c r="G12" s="133" t="s">
        <v>1668</v>
      </c>
      <c r="H12" s="322"/>
      <c r="I12" s="121" t="s">
        <v>42</v>
      </c>
      <c r="J12" s="582"/>
      <c r="K12" s="583"/>
      <c r="L12" s="173" t="s">
        <v>1648</v>
      </c>
      <c r="M12" s="214" t="s">
        <v>1652</v>
      </c>
      <c r="N12" s="214" t="s">
        <v>1653</v>
      </c>
      <c r="O12" s="274">
        <v>307</v>
      </c>
      <c r="P12" s="297">
        <f>O12/0.182</f>
        <v>1686.8131868131868</v>
      </c>
      <c r="Q12" s="298">
        <f>P12/1.38028</f>
        <v>1222.0804378917226</v>
      </c>
    </row>
    <row r="13" spans="2:19" x14ac:dyDescent="0.25">
      <c r="B13" s="591"/>
      <c r="C13" s="320" t="s">
        <v>1738</v>
      </c>
      <c r="D13" s="310"/>
      <c r="E13" s="311">
        <f>M75</f>
        <v>6.7243220000000008</v>
      </c>
      <c r="F13" s="311">
        <f>N67</f>
        <v>8.4016651949034955</v>
      </c>
      <c r="G13" s="310" t="s">
        <v>1668</v>
      </c>
      <c r="H13" s="150"/>
      <c r="I13" s="121" t="s">
        <v>42</v>
      </c>
      <c r="J13" s="582"/>
      <c r="K13" s="583"/>
      <c r="L13" s="173" t="s">
        <v>1652</v>
      </c>
      <c r="M13" s="214" t="s">
        <v>1652</v>
      </c>
      <c r="N13" s="214" t="s">
        <v>1655</v>
      </c>
      <c r="O13" s="274">
        <v>298</v>
      </c>
      <c r="P13" s="297">
        <f>O13/0.182</f>
        <v>1637.3626373626373</v>
      </c>
      <c r="Q13" s="298">
        <f>P13/1.38028</f>
        <v>1186.2539755431053</v>
      </c>
    </row>
    <row r="14" spans="2:19" x14ac:dyDescent="0.25">
      <c r="B14" s="591"/>
      <c r="C14" s="320"/>
      <c r="D14" s="112"/>
      <c r="E14" s="311"/>
      <c r="F14" s="311"/>
      <c r="G14" s="310"/>
      <c r="H14" s="150"/>
      <c r="I14" s="121" t="s">
        <v>42</v>
      </c>
      <c r="J14" s="582"/>
      <c r="K14" s="583"/>
      <c r="L14" s="173" t="s">
        <v>1652</v>
      </c>
      <c r="M14" s="214" t="s">
        <v>1658</v>
      </c>
      <c r="N14" s="214" t="s">
        <v>1659</v>
      </c>
      <c r="O14" s="274">
        <f>6500*3.6</f>
        <v>23400</v>
      </c>
      <c r="P14" s="297">
        <f>O14</f>
        <v>23400</v>
      </c>
      <c r="Q14" s="298">
        <f>P14*1.38</f>
        <v>32291.999999999996</v>
      </c>
    </row>
    <row r="15" spans="2:19" x14ac:dyDescent="0.25">
      <c r="B15" s="591"/>
      <c r="C15" s="320"/>
      <c r="D15" s="112"/>
      <c r="E15" s="311"/>
      <c r="F15" s="311"/>
      <c r="G15" s="310"/>
      <c r="H15" s="150"/>
      <c r="I15" s="121" t="s">
        <v>42</v>
      </c>
      <c r="J15" s="582"/>
      <c r="K15" s="583"/>
      <c r="L15" s="173" t="s">
        <v>1658</v>
      </c>
      <c r="M15" s="214" t="s">
        <v>1660</v>
      </c>
      <c r="N15" s="214" t="s">
        <v>1661</v>
      </c>
      <c r="O15" s="274">
        <v>0</v>
      </c>
      <c r="P15" s="297">
        <f>O15</f>
        <v>0</v>
      </c>
      <c r="Q15" s="298">
        <f>P15*1.38</f>
        <v>0</v>
      </c>
    </row>
    <row r="16" spans="2:19" x14ac:dyDescent="0.25">
      <c r="B16" s="591"/>
      <c r="C16" s="312" t="s">
        <v>1683</v>
      </c>
      <c r="D16" s="310"/>
      <c r="E16" s="313">
        <f>E12+E13+E14+E15</f>
        <v>7.6843220000000008</v>
      </c>
      <c r="F16" s="313">
        <f>F12+F13+F14+F15</f>
        <v>15.601665194903497</v>
      </c>
      <c r="G16" s="136" t="s">
        <v>1657</v>
      </c>
      <c r="H16" s="150"/>
      <c r="I16" s="121" t="s">
        <v>42</v>
      </c>
      <c r="J16" s="582"/>
      <c r="K16" s="583"/>
      <c r="L16" s="173" t="s">
        <v>1660</v>
      </c>
      <c r="M16" s="214" t="s">
        <v>1664</v>
      </c>
      <c r="N16" s="214" t="s">
        <v>1661</v>
      </c>
      <c r="O16" s="274">
        <v>0</v>
      </c>
      <c r="P16" s="297">
        <f>O16</f>
        <v>0</v>
      </c>
      <c r="Q16" s="298">
        <f>P16*1.38</f>
        <v>0</v>
      </c>
    </row>
    <row r="17" spans="2:19" x14ac:dyDescent="0.25">
      <c r="B17" s="592"/>
      <c r="C17" s="137" t="s">
        <v>1722</v>
      </c>
      <c r="D17" s="318"/>
      <c r="E17" s="325">
        <f>E16/20</f>
        <v>0.38421610000000006</v>
      </c>
      <c r="F17" s="325">
        <f>F16/20</f>
        <v>0.78008325974517478</v>
      </c>
      <c r="G17" s="137" t="s">
        <v>1783</v>
      </c>
      <c r="H17" s="155"/>
      <c r="I17" s="121" t="s">
        <v>42</v>
      </c>
      <c r="J17" s="582"/>
      <c r="K17" s="583"/>
      <c r="L17" s="197"/>
      <c r="M17" s="217"/>
      <c r="N17" s="214"/>
      <c r="O17" s="282"/>
      <c r="P17" s="299"/>
      <c r="Q17" s="171"/>
    </row>
    <row r="18" spans="2:19" x14ac:dyDescent="0.25">
      <c r="B18" s="130"/>
      <c r="C18" s="110"/>
      <c r="D18" s="75"/>
      <c r="E18" s="131"/>
      <c r="F18" s="131"/>
      <c r="G18" s="132"/>
      <c r="H18" s="75"/>
      <c r="I18" s="121"/>
      <c r="J18" s="582"/>
      <c r="K18" s="583"/>
      <c r="L18" s="198" t="s">
        <v>1444</v>
      </c>
      <c r="M18" s="219"/>
      <c r="N18" s="258" t="s">
        <v>1739</v>
      </c>
      <c r="O18" s="283" t="s">
        <v>1638</v>
      </c>
      <c r="P18" s="204"/>
      <c r="Q18" s="204"/>
      <c r="R18" s="175" t="s">
        <v>1639</v>
      </c>
    </row>
    <row r="19" spans="2:19" ht="55.2" x14ac:dyDescent="0.25">
      <c r="B19" s="130"/>
      <c r="C19" s="110"/>
      <c r="D19" s="75"/>
      <c r="E19" s="131"/>
      <c r="F19" s="131"/>
      <c r="G19" s="132"/>
      <c r="H19" s="75"/>
      <c r="I19" s="121"/>
      <c r="J19" s="582"/>
      <c r="K19" s="586"/>
      <c r="L19" s="199" t="s">
        <v>1740</v>
      </c>
      <c r="M19" s="220"/>
      <c r="N19" s="259">
        <f>SUM(Q11:Q16)/1000</f>
        <v>34.831698108713084</v>
      </c>
      <c r="O19" s="284" t="s">
        <v>1743</v>
      </c>
      <c r="P19" s="300"/>
      <c r="Q19" s="300"/>
      <c r="R19" s="176" t="s">
        <v>1768</v>
      </c>
      <c r="S19" s="143" t="s">
        <v>42</v>
      </c>
    </row>
    <row r="20" spans="2:19" x14ac:dyDescent="0.25">
      <c r="I20" s="121"/>
      <c r="J20" s="582"/>
      <c r="K20" s="153"/>
      <c r="L20" s="173"/>
      <c r="M20" s="214"/>
      <c r="N20" s="214"/>
      <c r="O20" s="274"/>
      <c r="P20" s="173"/>
      <c r="Q20" s="173"/>
      <c r="R20" s="171"/>
      <c r="S20" s="143" t="s">
        <v>42</v>
      </c>
    </row>
    <row r="21" spans="2:19" ht="16.5" customHeight="1" x14ac:dyDescent="0.25">
      <c r="I21" s="121"/>
      <c r="J21" s="582"/>
      <c r="K21" s="153"/>
      <c r="L21" s="173"/>
      <c r="M21" s="214"/>
      <c r="N21" s="214"/>
      <c r="O21" s="274"/>
      <c r="P21" s="173"/>
      <c r="Q21" s="173"/>
      <c r="R21" s="171"/>
    </row>
    <row r="22" spans="2:19" x14ac:dyDescent="0.25">
      <c r="I22" s="121"/>
      <c r="J22" s="582"/>
      <c r="K22" s="152" t="s">
        <v>1465</v>
      </c>
      <c r="L22" s="192" t="s">
        <v>1444</v>
      </c>
      <c r="M22" s="211"/>
      <c r="N22" s="227" t="s">
        <v>1739</v>
      </c>
      <c r="O22" s="283" t="s">
        <v>1638</v>
      </c>
      <c r="P22" s="597" t="s">
        <v>1633</v>
      </c>
      <c r="Q22" s="597"/>
      <c r="R22" s="177" t="s">
        <v>1639</v>
      </c>
    </row>
    <row r="23" spans="2:19" ht="24.75" customHeight="1" x14ac:dyDescent="0.25">
      <c r="B23" s="114" t="s">
        <v>1637</v>
      </c>
      <c r="C23" s="115" t="s">
        <v>1465</v>
      </c>
      <c r="D23" s="115" t="s">
        <v>1444</v>
      </c>
      <c r="E23" s="118" t="s">
        <v>1710</v>
      </c>
      <c r="F23" s="118" t="s">
        <v>1711</v>
      </c>
      <c r="G23" s="115" t="s">
        <v>1638</v>
      </c>
      <c r="H23" s="307"/>
      <c r="I23" s="121"/>
      <c r="J23" s="582"/>
      <c r="K23" s="587" t="s">
        <v>1666</v>
      </c>
      <c r="L23" s="200"/>
      <c r="M23" s="221"/>
      <c r="N23" s="221"/>
      <c r="O23" s="277"/>
      <c r="P23" s="594" t="s">
        <v>1744</v>
      </c>
      <c r="Q23" s="594"/>
      <c r="R23" s="588" t="s">
        <v>1762</v>
      </c>
    </row>
    <row r="24" spans="2:19" ht="15.75" customHeight="1" x14ac:dyDescent="0.25">
      <c r="B24" s="599" t="s">
        <v>1869</v>
      </c>
      <c r="C24" s="551" t="s">
        <v>1701</v>
      </c>
      <c r="D24" s="314"/>
      <c r="E24" s="315">
        <v>0.19440000000000002</v>
      </c>
      <c r="F24" s="113">
        <v>0.97200000000000009</v>
      </c>
      <c r="G24" s="133" t="s">
        <v>1668</v>
      </c>
      <c r="H24" s="134"/>
      <c r="I24" s="121"/>
      <c r="J24" s="582"/>
      <c r="K24" s="583"/>
      <c r="L24" s="194"/>
      <c r="M24" s="222"/>
      <c r="N24" s="260"/>
      <c r="O24" s="274"/>
      <c r="P24" s="595"/>
      <c r="Q24" s="595"/>
      <c r="R24" s="589"/>
    </row>
    <row r="25" spans="2:19" ht="63.45" customHeight="1" x14ac:dyDescent="0.25">
      <c r="B25" s="591"/>
      <c r="C25" s="552" t="s">
        <v>1983</v>
      </c>
      <c r="D25" s="112"/>
      <c r="E25" s="112">
        <v>8.1669999999999998</v>
      </c>
      <c r="F25" s="112">
        <v>8.1669999999999998</v>
      </c>
      <c r="G25" s="310" t="s">
        <v>1668</v>
      </c>
      <c r="H25" s="150"/>
      <c r="I25" s="121"/>
      <c r="J25" s="582"/>
      <c r="K25" s="586"/>
      <c r="L25" s="201" t="s">
        <v>1666</v>
      </c>
      <c r="M25" s="223"/>
      <c r="N25" s="166">
        <v>30.4</v>
      </c>
      <c r="O25" s="278" t="s">
        <v>1743</v>
      </c>
      <c r="P25" s="596"/>
      <c r="Q25" s="596"/>
      <c r="R25" s="590"/>
    </row>
    <row r="26" spans="2:19" x14ac:dyDescent="0.25">
      <c r="B26" s="591"/>
      <c r="C26" s="112"/>
      <c r="D26" s="112"/>
      <c r="E26" s="112"/>
      <c r="F26" s="112"/>
      <c r="G26" s="112"/>
      <c r="H26" s="150"/>
      <c r="I26" s="121" t="s">
        <v>42</v>
      </c>
      <c r="J26" s="582"/>
      <c r="K26" s="406"/>
      <c r="L26" s="173"/>
      <c r="M26" s="214"/>
      <c r="N26" s="214"/>
      <c r="O26" s="274"/>
      <c r="P26" s="173"/>
      <c r="Q26" s="173"/>
      <c r="R26" s="171"/>
    </row>
    <row r="27" spans="2:19" x14ac:dyDescent="0.25">
      <c r="B27" s="591"/>
      <c r="C27" s="312" t="s">
        <v>1683</v>
      </c>
      <c r="D27" s="310"/>
      <c r="E27" s="313">
        <f>SUM(E24:E25)</f>
        <v>8.3613999999999997</v>
      </c>
      <c r="F27" s="313">
        <f>SUM(F24:F25)</f>
        <v>9.1389999999999993</v>
      </c>
      <c r="G27" s="136" t="s">
        <v>1657</v>
      </c>
      <c r="H27" s="316"/>
      <c r="I27" s="121" t="s">
        <v>42</v>
      </c>
      <c r="J27" s="582"/>
      <c r="K27" s="152" t="s">
        <v>1465</v>
      </c>
      <c r="L27" s="192" t="s">
        <v>1444</v>
      </c>
      <c r="M27" s="211" t="s">
        <v>1710</v>
      </c>
      <c r="N27" s="258" t="s">
        <v>1711</v>
      </c>
      <c r="O27" s="280" t="s">
        <v>1638</v>
      </c>
      <c r="P27" s="597" t="s">
        <v>1633</v>
      </c>
      <c r="Q27" s="597"/>
      <c r="R27" s="177" t="s">
        <v>1639</v>
      </c>
    </row>
    <row r="28" spans="2:19" ht="16.5" customHeight="1" x14ac:dyDescent="0.25">
      <c r="B28" s="317"/>
      <c r="C28" s="137" t="s">
        <v>1722</v>
      </c>
      <c r="D28" s="318"/>
      <c r="E28" s="325">
        <f>E27/20</f>
        <v>0.41807</v>
      </c>
      <c r="F28" s="325">
        <f>F27/20</f>
        <v>0.45694999999999997</v>
      </c>
      <c r="G28" s="137" t="s">
        <v>1786</v>
      </c>
      <c r="H28" s="319"/>
      <c r="I28" s="121" t="s">
        <v>42</v>
      </c>
      <c r="J28" s="582"/>
      <c r="K28" s="585" t="s">
        <v>1720</v>
      </c>
      <c r="L28" s="196" t="s">
        <v>1662</v>
      </c>
      <c r="M28" s="218">
        <f>N25</f>
        <v>30.4</v>
      </c>
      <c r="N28" s="261">
        <f>N19</f>
        <v>34.831698108713084</v>
      </c>
      <c r="O28" s="277" t="s">
        <v>1663</v>
      </c>
      <c r="P28" s="594"/>
      <c r="Q28" s="594"/>
      <c r="R28" s="178"/>
    </row>
    <row r="29" spans="2:19" ht="27.45" customHeight="1" x14ac:dyDescent="0.25">
      <c r="I29" s="121" t="s">
        <v>42</v>
      </c>
      <c r="J29" s="582"/>
      <c r="K29" s="583"/>
      <c r="L29" s="173" t="s">
        <v>1721</v>
      </c>
      <c r="M29" s="214">
        <f>42/1000</f>
        <v>4.2000000000000003E-2</v>
      </c>
      <c r="N29" s="214">
        <f>42/1000</f>
        <v>4.2000000000000003E-2</v>
      </c>
      <c r="O29" s="274" t="s">
        <v>1665</v>
      </c>
      <c r="P29" s="595"/>
      <c r="Q29" s="595"/>
      <c r="R29" s="171" t="s">
        <v>1759</v>
      </c>
      <c r="S29" s="143" t="s">
        <v>42</v>
      </c>
    </row>
    <row r="30" spans="2:19" ht="15.75" customHeight="1" x14ac:dyDescent="0.25">
      <c r="B30" s="114" t="s">
        <v>1637</v>
      </c>
      <c r="C30" s="115" t="s">
        <v>1465</v>
      </c>
      <c r="D30" s="115" t="s">
        <v>1444</v>
      </c>
      <c r="E30" s="118" t="s">
        <v>1710</v>
      </c>
      <c r="F30" s="118" t="s">
        <v>1711</v>
      </c>
      <c r="G30" s="115" t="s">
        <v>1638</v>
      </c>
      <c r="H30" s="307"/>
      <c r="I30" s="121" t="s">
        <v>42</v>
      </c>
      <c r="J30" s="582"/>
      <c r="K30" s="583"/>
      <c r="L30" s="173" t="s">
        <v>1723</v>
      </c>
      <c r="M30" s="224">
        <v>0.55000000000000004</v>
      </c>
      <c r="N30" s="224">
        <v>0.75</v>
      </c>
      <c r="O30" s="274" t="s">
        <v>1724</v>
      </c>
      <c r="P30" s="595"/>
      <c r="Q30" s="595"/>
      <c r="R30" s="171"/>
    </row>
    <row r="31" spans="2:19" ht="28.2" customHeight="1" x14ac:dyDescent="0.25">
      <c r="B31" s="599" t="s">
        <v>1870</v>
      </c>
      <c r="C31" s="551" t="s">
        <v>1701</v>
      </c>
      <c r="D31" s="314"/>
      <c r="E31" s="401">
        <f>M84</f>
        <v>0.19440000000000002</v>
      </c>
      <c r="F31" s="324">
        <f>N84</f>
        <v>0.97200000000000009</v>
      </c>
      <c r="G31" s="133" t="s">
        <v>1668</v>
      </c>
      <c r="H31" s="134"/>
      <c r="I31" s="121" t="s">
        <v>42</v>
      </c>
      <c r="J31" s="582"/>
      <c r="K31" s="583"/>
      <c r="L31" s="173" t="s">
        <v>1725</v>
      </c>
      <c r="M31" s="214">
        <f>M29*M30</f>
        <v>2.3100000000000002E-2</v>
      </c>
      <c r="N31" s="214">
        <f>N29*N30</f>
        <v>3.15E-2</v>
      </c>
      <c r="O31" s="274" t="s">
        <v>1726</v>
      </c>
      <c r="P31" s="595" t="s">
        <v>1745</v>
      </c>
      <c r="Q31" s="595"/>
      <c r="R31" s="171" t="s">
        <v>1760</v>
      </c>
      <c r="S31" s="143" t="s">
        <v>42</v>
      </c>
    </row>
    <row r="32" spans="2:19" ht="29.25" customHeight="1" x14ac:dyDescent="0.25">
      <c r="B32" s="600"/>
      <c r="C32" s="552" t="s">
        <v>1752</v>
      </c>
      <c r="D32" s="112"/>
      <c r="E32" s="156">
        <f>M99</f>
        <v>1.5</v>
      </c>
      <c r="F32" s="156">
        <f>N99</f>
        <v>11</v>
      </c>
      <c r="G32" s="112"/>
      <c r="H32" s="150"/>
      <c r="I32" s="121" t="s">
        <v>42</v>
      </c>
      <c r="J32" s="582"/>
      <c r="K32" s="586"/>
      <c r="L32" s="202" t="s">
        <v>1727</v>
      </c>
      <c r="M32" s="225">
        <f>M31*M28</f>
        <v>0.70224000000000009</v>
      </c>
      <c r="N32" s="225">
        <f>N31*N28</f>
        <v>1.097198490424462</v>
      </c>
      <c r="O32" s="278" t="s">
        <v>1668</v>
      </c>
      <c r="P32" s="609"/>
      <c r="Q32" s="609"/>
      <c r="R32" s="179"/>
    </row>
    <row r="33" spans="2:19" ht="15.75" customHeight="1" x14ac:dyDescent="0.25">
      <c r="B33" s="600"/>
      <c r="C33" s="552" t="s">
        <v>1705</v>
      </c>
      <c r="D33" s="112"/>
      <c r="E33" s="323">
        <f>M105</f>
        <v>0.6</v>
      </c>
      <c r="F33" s="323">
        <f>N105</f>
        <v>0.9</v>
      </c>
      <c r="G33" s="112"/>
      <c r="H33" s="150"/>
      <c r="I33" s="121" t="s">
        <v>42</v>
      </c>
      <c r="J33" s="582"/>
      <c r="K33" s="153"/>
      <c r="L33" s="173"/>
      <c r="M33" s="214"/>
      <c r="N33" s="214"/>
      <c r="O33" s="274"/>
      <c r="P33" s="173"/>
      <c r="Q33" s="173"/>
      <c r="R33" s="171"/>
    </row>
    <row r="34" spans="2:19" ht="15.75" customHeight="1" x14ac:dyDescent="0.25">
      <c r="B34" s="600"/>
      <c r="C34" s="552" t="s">
        <v>1983</v>
      </c>
      <c r="D34" s="112"/>
      <c r="E34" s="112">
        <v>8.1669999999999998</v>
      </c>
      <c r="F34" s="112">
        <v>8.1669999999999998</v>
      </c>
      <c r="G34" s="310" t="s">
        <v>1668</v>
      </c>
      <c r="H34" s="150"/>
      <c r="J34" s="582"/>
      <c r="K34" s="153"/>
      <c r="L34" s="173"/>
      <c r="M34" s="214"/>
      <c r="N34" s="214"/>
      <c r="O34" s="274"/>
      <c r="P34" s="173"/>
      <c r="Q34" s="173"/>
      <c r="R34" s="171"/>
    </row>
    <row r="35" spans="2:19" ht="15.75" customHeight="1" x14ac:dyDescent="0.25">
      <c r="B35" s="600"/>
      <c r="C35" s="112"/>
      <c r="D35" s="112"/>
      <c r="E35" s="156"/>
      <c r="F35" s="156"/>
      <c r="G35" s="112"/>
      <c r="H35" s="150"/>
      <c r="I35" s="22"/>
      <c r="J35" s="582"/>
      <c r="K35" s="152" t="s">
        <v>1465</v>
      </c>
      <c r="L35" s="192" t="s">
        <v>1672</v>
      </c>
      <c r="M35" s="192" t="s">
        <v>1673</v>
      </c>
      <c r="N35" s="192" t="s">
        <v>1674</v>
      </c>
      <c r="O35" s="285" t="s">
        <v>1675</v>
      </c>
      <c r="P35" s="613" t="s">
        <v>1633</v>
      </c>
      <c r="Q35" s="614"/>
      <c r="R35" s="177" t="s">
        <v>1639</v>
      </c>
    </row>
    <row r="36" spans="2:19" ht="15.75" customHeight="1" x14ac:dyDescent="0.25">
      <c r="B36" s="600"/>
      <c r="C36" s="112"/>
      <c r="D36" s="112"/>
      <c r="E36" s="157"/>
      <c r="F36" s="157"/>
      <c r="G36" s="148"/>
      <c r="H36" s="150"/>
      <c r="I36" s="111" t="s">
        <v>42</v>
      </c>
      <c r="J36" s="582"/>
      <c r="K36" s="569" t="s">
        <v>1680</v>
      </c>
      <c r="L36" s="191" t="s">
        <v>1679</v>
      </c>
      <c r="M36" s="553">
        <f>55.85+96+(7*18)</f>
        <v>277.85000000000002</v>
      </c>
      <c r="N36" s="262">
        <f>96/M36</f>
        <v>0.34551016735648726</v>
      </c>
      <c r="O36" s="610">
        <f>AVERAGE(N36:N39)</f>
        <v>0.40427283927112156</v>
      </c>
      <c r="P36" s="606" t="s">
        <v>1769</v>
      </c>
      <c r="Q36" s="606"/>
      <c r="R36" s="602" t="s">
        <v>1760</v>
      </c>
    </row>
    <row r="37" spans="2:19" ht="13.95" customHeight="1" x14ac:dyDescent="0.25">
      <c r="B37" s="600"/>
      <c r="C37" s="312" t="s">
        <v>1683</v>
      </c>
      <c r="D37" s="310"/>
      <c r="E37" s="313">
        <f>SUM(E31:E35)</f>
        <v>10.461399999999999</v>
      </c>
      <c r="F37" s="313">
        <f>SUM(F31:F35)</f>
        <v>21.039000000000001</v>
      </c>
      <c r="G37" s="136" t="s">
        <v>1657</v>
      </c>
      <c r="H37" s="150"/>
      <c r="I37" s="22"/>
      <c r="J37" s="582"/>
      <c r="K37" s="583"/>
      <c r="L37" s="173" t="s">
        <v>1681</v>
      </c>
      <c r="M37" s="214">
        <f>24.3+96+(7*18)</f>
        <v>246.3</v>
      </c>
      <c r="N37" s="263">
        <f>96/M37</f>
        <v>0.38976857490864797</v>
      </c>
      <c r="O37" s="611"/>
      <c r="P37" s="595"/>
      <c r="Q37" s="595"/>
      <c r="R37" s="603"/>
    </row>
    <row r="38" spans="2:19" ht="13.95" customHeight="1" x14ac:dyDescent="0.25">
      <c r="B38" s="601"/>
      <c r="C38" s="137" t="s">
        <v>1722</v>
      </c>
      <c r="D38" s="318"/>
      <c r="E38" s="325">
        <f>E37/20</f>
        <v>0.52306999999999992</v>
      </c>
      <c r="F38" s="325">
        <f>F37/20</f>
        <v>1.0519500000000002</v>
      </c>
      <c r="G38" s="137" t="s">
        <v>1786</v>
      </c>
      <c r="H38" s="155"/>
      <c r="I38" s="22"/>
      <c r="J38" s="582"/>
      <c r="K38" s="583"/>
      <c r="L38" s="173" t="s">
        <v>1682</v>
      </c>
      <c r="M38" s="214">
        <f>54.9+96+(7*18)</f>
        <v>276.89999999999998</v>
      </c>
      <c r="N38" s="263">
        <f>96/M38</f>
        <v>0.34669555796316365</v>
      </c>
      <c r="O38" s="611"/>
      <c r="P38" s="595"/>
      <c r="Q38" s="595"/>
      <c r="R38" s="603"/>
    </row>
    <row r="39" spans="2:19" ht="13.5" customHeight="1" x14ac:dyDescent="0.25">
      <c r="I39" s="22"/>
      <c r="J39" s="582"/>
      <c r="K39" s="584"/>
      <c r="L39" s="203" t="s">
        <v>1684</v>
      </c>
      <c r="M39" s="226">
        <f>65.4+96+18</f>
        <v>179.4</v>
      </c>
      <c r="N39" s="264">
        <f>96/M39</f>
        <v>0.53511705685618727</v>
      </c>
      <c r="O39" s="612"/>
      <c r="P39" s="593"/>
      <c r="Q39" s="593"/>
      <c r="R39" s="604"/>
    </row>
    <row r="40" spans="2:19" ht="22.5" customHeight="1" x14ac:dyDescent="0.25">
      <c r="I40" s="22"/>
      <c r="J40" s="582"/>
      <c r="K40" s="153"/>
      <c r="L40" s="173"/>
      <c r="M40" s="214"/>
      <c r="N40" s="214"/>
      <c r="O40" s="274"/>
      <c r="P40" s="173"/>
      <c r="Q40" s="173"/>
      <c r="R40" s="171"/>
    </row>
    <row r="41" spans="2:19" x14ac:dyDescent="0.25">
      <c r="I41" s="22"/>
      <c r="J41" s="582"/>
      <c r="K41" s="154" t="s">
        <v>1465</v>
      </c>
      <c r="L41" s="204" t="s">
        <v>1444</v>
      </c>
      <c r="M41" s="219"/>
      <c r="N41" s="258" t="s">
        <v>1739</v>
      </c>
      <c r="O41" s="283" t="s">
        <v>1638</v>
      </c>
      <c r="P41" s="597" t="s">
        <v>1633</v>
      </c>
      <c r="Q41" s="597"/>
      <c r="R41" s="175" t="s">
        <v>1639</v>
      </c>
    </row>
    <row r="42" spans="2:19" ht="30" customHeight="1" x14ac:dyDescent="0.25">
      <c r="I42" s="22"/>
      <c r="J42" s="582"/>
      <c r="K42" s="570" t="s">
        <v>1680</v>
      </c>
      <c r="L42" s="193" t="s">
        <v>1676</v>
      </c>
      <c r="M42" s="193"/>
      <c r="N42" s="214">
        <v>0.03</v>
      </c>
      <c r="O42" s="286" t="s">
        <v>1677</v>
      </c>
      <c r="P42" s="607" t="s">
        <v>1770</v>
      </c>
      <c r="Q42" s="607"/>
      <c r="R42" s="605" t="s">
        <v>1760</v>
      </c>
      <c r="S42" s="143" t="s">
        <v>42</v>
      </c>
    </row>
    <row r="43" spans="2:19" x14ac:dyDescent="0.25">
      <c r="B43" s="130"/>
      <c r="C43" s="110"/>
      <c r="D43" s="75"/>
      <c r="E43" s="131"/>
      <c r="F43" s="131"/>
      <c r="G43" s="132"/>
      <c r="H43" s="75"/>
      <c r="I43" s="140"/>
      <c r="J43" s="582"/>
      <c r="K43" s="583"/>
      <c r="L43" s="173" t="s">
        <v>1728</v>
      </c>
      <c r="M43" s="214"/>
      <c r="N43" s="265">
        <f>N42*O36</f>
        <v>1.2128185178133646E-2</v>
      </c>
      <c r="O43" s="286" t="s">
        <v>1729</v>
      </c>
      <c r="P43" s="608"/>
      <c r="Q43" s="608"/>
      <c r="R43" s="603"/>
    </row>
    <row r="44" spans="2:19" ht="26.7" customHeight="1" x14ac:dyDescent="0.25">
      <c r="B44" s="130"/>
      <c r="C44" s="110"/>
      <c r="H44" s="75"/>
      <c r="I44" s="24"/>
      <c r="J44" s="582"/>
      <c r="K44" s="586"/>
      <c r="L44" s="201" t="s">
        <v>1730</v>
      </c>
      <c r="M44" s="201"/>
      <c r="N44" s="266">
        <v>3</v>
      </c>
      <c r="O44" s="287" t="s">
        <v>1670</v>
      </c>
      <c r="P44" s="596"/>
      <c r="Q44" s="596"/>
      <c r="R44" s="405" t="s">
        <v>1761</v>
      </c>
    </row>
    <row r="45" spans="2:19" ht="15.75" customHeight="1" x14ac:dyDescent="0.25">
      <c r="B45" s="114" t="s">
        <v>1637</v>
      </c>
      <c r="C45" s="115" t="s">
        <v>1465</v>
      </c>
      <c r="D45" s="115" t="s">
        <v>1444</v>
      </c>
      <c r="E45" s="118" t="s">
        <v>1710</v>
      </c>
      <c r="F45" s="117" t="s">
        <v>1711</v>
      </c>
      <c r="G45" s="115" t="s">
        <v>1638</v>
      </c>
      <c r="H45" s="307"/>
      <c r="I45" s="140"/>
      <c r="J45" s="582"/>
      <c r="K45" s="153"/>
      <c r="L45" s="173"/>
      <c r="M45" s="214"/>
      <c r="N45" s="214"/>
      <c r="O45" s="274"/>
      <c r="P45" s="173"/>
      <c r="Q45" s="173"/>
      <c r="R45" s="171"/>
    </row>
    <row r="46" spans="2:19" ht="15.75" customHeight="1" x14ac:dyDescent="0.25">
      <c r="B46" s="598" t="s">
        <v>1871</v>
      </c>
      <c r="C46" s="133"/>
      <c r="D46" s="113"/>
      <c r="E46" s="113"/>
      <c r="F46" s="113"/>
      <c r="G46" s="113"/>
      <c r="H46" s="308"/>
      <c r="I46" s="141"/>
      <c r="J46" s="582"/>
      <c r="K46" s="152" t="s">
        <v>1465</v>
      </c>
      <c r="L46" s="192" t="s">
        <v>1444</v>
      </c>
      <c r="M46" s="227"/>
      <c r="N46" s="211" t="s">
        <v>1739</v>
      </c>
      <c r="O46" s="280" t="s">
        <v>1638</v>
      </c>
      <c r="P46" s="597" t="s">
        <v>1633</v>
      </c>
      <c r="Q46" s="597"/>
      <c r="R46" s="177" t="s">
        <v>1639</v>
      </c>
    </row>
    <row r="47" spans="2:19" ht="15.75" customHeight="1" x14ac:dyDescent="0.25">
      <c r="B47" s="591"/>
      <c r="C47" s="135" t="s">
        <v>1719</v>
      </c>
      <c r="D47" s="112"/>
      <c r="E47" s="313">
        <f>E8+E16+E27</f>
        <v>20.809562</v>
      </c>
      <c r="F47" s="313">
        <f>F8+F16+F27</f>
        <v>31.323583685327957</v>
      </c>
      <c r="G47" s="136" t="s">
        <v>1657</v>
      </c>
      <c r="H47" s="150"/>
      <c r="I47" s="141"/>
      <c r="J47" s="582"/>
      <c r="K47" s="587" t="s">
        <v>1685</v>
      </c>
      <c r="L47" s="196"/>
      <c r="M47" s="218"/>
      <c r="N47" s="218"/>
      <c r="O47" s="277"/>
      <c r="P47" s="594" t="s">
        <v>1744</v>
      </c>
      <c r="Q47" s="594"/>
      <c r="R47" s="588" t="s">
        <v>1762</v>
      </c>
    </row>
    <row r="48" spans="2:19" ht="55.95" customHeight="1" x14ac:dyDescent="0.25">
      <c r="B48" s="592"/>
      <c r="C48" s="137" t="s">
        <v>1722</v>
      </c>
      <c r="D48" s="138"/>
      <c r="E48" s="168">
        <f>E47/20</f>
        <v>1.0404781000000001</v>
      </c>
      <c r="F48" s="168">
        <f>F47/20</f>
        <v>1.5661791842663979</v>
      </c>
      <c r="G48" s="137" t="s">
        <v>1785</v>
      </c>
      <c r="H48" s="155"/>
      <c r="I48" s="141" t="s">
        <v>42</v>
      </c>
      <c r="J48" s="582"/>
      <c r="K48" s="583"/>
      <c r="L48" s="173"/>
      <c r="M48" s="214"/>
      <c r="N48" s="265"/>
      <c r="O48" s="286"/>
      <c r="P48" s="595"/>
      <c r="Q48" s="595"/>
      <c r="R48" s="589"/>
    </row>
    <row r="49" spans="2:19" ht="39.75" customHeight="1" x14ac:dyDescent="0.25">
      <c r="I49" s="141"/>
      <c r="J49" s="582"/>
      <c r="K49" s="586"/>
      <c r="L49" s="201" t="s">
        <v>1731</v>
      </c>
      <c r="M49" s="201"/>
      <c r="N49" s="146">
        <v>7.21</v>
      </c>
      <c r="O49" s="278" t="s">
        <v>1670</v>
      </c>
      <c r="P49" s="596"/>
      <c r="Q49" s="596"/>
      <c r="R49" s="590"/>
    </row>
    <row r="50" spans="2:19" ht="15.75" customHeight="1" x14ac:dyDescent="0.25">
      <c r="J50" s="582"/>
      <c r="K50" s="153"/>
      <c r="L50" s="173"/>
      <c r="M50" s="214"/>
      <c r="N50" s="214"/>
      <c r="O50" s="274"/>
      <c r="P50" s="173"/>
      <c r="Q50" s="173"/>
      <c r="R50" s="171"/>
    </row>
    <row r="51" spans="2:19" ht="15.75" customHeight="1" x14ac:dyDescent="0.25">
      <c r="B51" s="114" t="s">
        <v>1637</v>
      </c>
      <c r="C51" s="115" t="s">
        <v>1465</v>
      </c>
      <c r="D51" s="115" t="s">
        <v>1444</v>
      </c>
      <c r="E51" s="118" t="s">
        <v>1710</v>
      </c>
      <c r="F51" s="117" t="s">
        <v>1711</v>
      </c>
      <c r="G51" s="115" t="s">
        <v>1638</v>
      </c>
      <c r="H51" s="307"/>
      <c r="J51" s="582"/>
      <c r="K51" s="152" t="s">
        <v>1465</v>
      </c>
      <c r="L51" s="192" t="s">
        <v>1444</v>
      </c>
      <c r="M51" s="211" t="s">
        <v>1710</v>
      </c>
      <c r="N51" s="211" t="s">
        <v>1711</v>
      </c>
      <c r="O51" s="280" t="s">
        <v>1638</v>
      </c>
      <c r="P51" s="614" t="s">
        <v>1633</v>
      </c>
      <c r="Q51" s="614"/>
      <c r="R51" s="177" t="s">
        <v>1639</v>
      </c>
    </row>
    <row r="52" spans="2:19" ht="15.75" customHeight="1" x14ac:dyDescent="0.25">
      <c r="B52" s="598" t="s">
        <v>1872</v>
      </c>
      <c r="C52" s="133"/>
      <c r="D52" s="133"/>
      <c r="E52" s="133"/>
      <c r="F52" s="133"/>
      <c r="G52" s="133"/>
      <c r="H52" s="134"/>
      <c r="J52" s="582"/>
      <c r="K52" s="599" t="s">
        <v>1732</v>
      </c>
      <c r="L52" s="191" t="s">
        <v>1669</v>
      </c>
      <c r="M52" s="228">
        <f>N44</f>
        <v>3</v>
      </c>
      <c r="N52" s="212">
        <f>N49</f>
        <v>7.21</v>
      </c>
      <c r="O52" s="273" t="s">
        <v>1754</v>
      </c>
      <c r="P52" s="606"/>
      <c r="Q52" s="606"/>
      <c r="R52" s="170"/>
    </row>
    <row r="53" spans="2:19" ht="25.5" customHeight="1" x14ac:dyDescent="0.25">
      <c r="B53" s="591"/>
      <c r="C53" s="135" t="s">
        <v>1719</v>
      </c>
      <c r="D53" s="112"/>
      <c r="E53" s="313">
        <f>E8+E16+E37</f>
        <v>22.909562000000001</v>
      </c>
      <c r="F53" s="313">
        <f>F8+F16+F37</f>
        <v>43.223583685327959</v>
      </c>
      <c r="G53" s="136" t="s">
        <v>1657</v>
      </c>
      <c r="H53" s="150"/>
      <c r="J53" s="582"/>
      <c r="K53" s="583"/>
      <c r="L53" s="173" t="s">
        <v>1671</v>
      </c>
      <c r="M53" s="229">
        <v>1.2E-2</v>
      </c>
      <c r="N53" s="267">
        <v>1.2E-2</v>
      </c>
      <c r="O53" s="274" t="s">
        <v>1755</v>
      </c>
      <c r="P53" s="595"/>
      <c r="Q53" s="595"/>
      <c r="R53" s="171"/>
    </row>
    <row r="54" spans="2:19" ht="46.95" customHeight="1" x14ac:dyDescent="0.25">
      <c r="B54" s="592"/>
      <c r="C54" s="137" t="s">
        <v>1722</v>
      </c>
      <c r="D54" s="138"/>
      <c r="E54" s="168">
        <f>E53/20</f>
        <v>1.1454781000000001</v>
      </c>
      <c r="F54" s="168">
        <f>F53/20</f>
        <v>2.1611791842663979</v>
      </c>
      <c r="G54" s="137" t="s">
        <v>1785</v>
      </c>
      <c r="H54" s="155"/>
      <c r="I54" s="143" t="s">
        <v>42</v>
      </c>
      <c r="J54" s="566"/>
      <c r="K54" s="584"/>
      <c r="L54" s="205" t="s">
        <v>1678</v>
      </c>
      <c r="M54" s="230">
        <f>M52*M53</f>
        <v>3.6000000000000004E-2</v>
      </c>
      <c r="N54" s="554">
        <f>N52*N53</f>
        <v>8.652E-2</v>
      </c>
      <c r="O54" s="279" t="s">
        <v>1657</v>
      </c>
      <c r="P54" s="593"/>
      <c r="Q54" s="593"/>
      <c r="R54" s="172"/>
    </row>
    <row r="55" spans="2:19" ht="15.75" customHeight="1" x14ac:dyDescent="0.25">
      <c r="I55" s="143" t="s">
        <v>42</v>
      </c>
      <c r="J55" s="22"/>
      <c r="K55" s="22"/>
    </row>
    <row r="56" spans="2:19" ht="15.75" customHeight="1" x14ac:dyDescent="0.25">
      <c r="B56" s="22"/>
      <c r="C56" s="22"/>
      <c r="D56" s="22"/>
      <c r="E56" s="22"/>
      <c r="F56" s="304"/>
      <c r="G56" s="304"/>
      <c r="H56" s="304"/>
      <c r="I56" s="22"/>
    </row>
    <row r="57" spans="2:19" ht="15.75" customHeight="1" x14ac:dyDescent="0.25">
      <c r="F57" s="304"/>
      <c r="G57" s="304"/>
      <c r="H57" s="304"/>
      <c r="J57" s="114" t="s">
        <v>1637</v>
      </c>
      <c r="K57" s="147" t="s">
        <v>1465</v>
      </c>
      <c r="L57" s="192" t="s">
        <v>1444</v>
      </c>
      <c r="M57" s="232" t="s">
        <v>1710</v>
      </c>
      <c r="N57" s="258" t="s">
        <v>1711</v>
      </c>
      <c r="O57" s="281" t="s">
        <v>1638</v>
      </c>
      <c r="P57" s="614" t="s">
        <v>1634</v>
      </c>
      <c r="Q57" s="614"/>
      <c r="R57" s="169" t="s">
        <v>1639</v>
      </c>
    </row>
    <row r="58" spans="2:19" ht="69" customHeight="1" x14ac:dyDescent="0.25">
      <c r="F58" s="304"/>
      <c r="G58" s="304"/>
      <c r="H58" s="304"/>
      <c r="J58" s="579" t="s">
        <v>1718</v>
      </c>
      <c r="K58" s="579" t="s">
        <v>1686</v>
      </c>
      <c r="L58" s="191" t="s">
        <v>1778</v>
      </c>
      <c r="M58" s="233">
        <v>0.8</v>
      </c>
      <c r="N58" s="268">
        <v>2</v>
      </c>
      <c r="O58" s="289" t="s">
        <v>1687</v>
      </c>
      <c r="P58" s="606" t="s">
        <v>1782</v>
      </c>
      <c r="Q58" s="606"/>
      <c r="R58" s="170" t="s">
        <v>1864</v>
      </c>
    </row>
    <row r="59" spans="2:19" ht="65.7" customHeight="1" x14ac:dyDescent="0.25">
      <c r="F59" s="304"/>
      <c r="G59" s="304"/>
      <c r="H59" s="304"/>
      <c r="I59" s="140"/>
      <c r="J59" s="580"/>
      <c r="K59" s="580"/>
      <c r="L59" s="173" t="s">
        <v>1779</v>
      </c>
      <c r="M59" s="234">
        <v>3</v>
      </c>
      <c r="N59" s="217">
        <v>1</v>
      </c>
      <c r="O59" s="286" t="s">
        <v>1756</v>
      </c>
      <c r="P59" s="595" t="s">
        <v>1863</v>
      </c>
      <c r="Q59" s="595"/>
      <c r="R59" s="180" t="s">
        <v>1865</v>
      </c>
      <c r="S59" s="143" t="s">
        <v>42</v>
      </c>
    </row>
    <row r="60" spans="2:19" ht="30" customHeight="1" x14ac:dyDescent="0.25">
      <c r="I60" s="111" t="s">
        <v>42</v>
      </c>
      <c r="J60" s="580"/>
      <c r="K60" s="580"/>
      <c r="L60" s="173" t="s">
        <v>1780</v>
      </c>
      <c r="M60" s="235">
        <f>M58/M59</f>
        <v>0.26666666666666666</v>
      </c>
      <c r="N60" s="235">
        <f>N58/N59</f>
        <v>2</v>
      </c>
      <c r="O60" s="286" t="s">
        <v>1688</v>
      </c>
      <c r="P60" s="617"/>
      <c r="Q60" s="617"/>
      <c r="R60" s="180"/>
      <c r="S60" s="143" t="s">
        <v>42</v>
      </c>
    </row>
    <row r="61" spans="2:19" ht="15.75" customHeight="1" x14ac:dyDescent="0.25">
      <c r="I61" s="111" t="s">
        <v>42</v>
      </c>
      <c r="J61" s="580"/>
      <c r="K61" s="580"/>
      <c r="L61" s="194"/>
      <c r="M61" s="236"/>
      <c r="N61" s="236"/>
      <c r="O61" s="275"/>
      <c r="P61" s="617"/>
      <c r="Q61" s="617"/>
      <c r="R61" s="180"/>
      <c r="S61" s="143" t="s">
        <v>42</v>
      </c>
    </row>
    <row r="62" spans="2:19" ht="15.75" customHeight="1" x14ac:dyDescent="0.25">
      <c r="I62" s="111" t="s">
        <v>42</v>
      </c>
      <c r="J62" s="580"/>
      <c r="K62" s="581"/>
      <c r="L62" s="205" t="s">
        <v>1753</v>
      </c>
      <c r="M62" s="237">
        <f>M60*3.6</f>
        <v>0.96</v>
      </c>
      <c r="N62" s="237">
        <f>N60*3.6</f>
        <v>7.2</v>
      </c>
      <c r="O62" s="276" t="s">
        <v>1668</v>
      </c>
      <c r="P62" s="618"/>
      <c r="Q62" s="618"/>
      <c r="R62" s="181"/>
      <c r="S62" s="143" t="s">
        <v>42</v>
      </c>
    </row>
    <row r="63" spans="2:19" ht="15.75" customHeight="1" x14ac:dyDescent="0.25">
      <c r="I63" s="75"/>
      <c r="J63" s="580"/>
      <c r="K63" s="164"/>
      <c r="L63" s="206"/>
      <c r="M63" s="238"/>
      <c r="N63" s="269"/>
      <c r="O63" s="290"/>
      <c r="P63" s="301"/>
      <c r="Q63" s="301"/>
      <c r="R63" s="182"/>
      <c r="S63" s="143" t="s">
        <v>42</v>
      </c>
    </row>
    <row r="64" spans="2:19" ht="48.45" customHeight="1" x14ac:dyDescent="0.25">
      <c r="I64" s="75"/>
      <c r="J64" s="580"/>
      <c r="K64" s="573" t="s">
        <v>1689</v>
      </c>
      <c r="L64" s="196" t="s">
        <v>1709</v>
      </c>
      <c r="M64" s="239"/>
      <c r="N64" s="239">
        <v>6.66</v>
      </c>
      <c r="O64" s="291" t="s">
        <v>1690</v>
      </c>
      <c r="P64" s="619" t="s">
        <v>1771</v>
      </c>
      <c r="Q64" s="619"/>
      <c r="R64" s="404" t="s">
        <v>1763</v>
      </c>
      <c r="S64" s="143" t="s">
        <v>42</v>
      </c>
    </row>
    <row r="65" spans="2:19" ht="15.75" customHeight="1" x14ac:dyDescent="0.25">
      <c r="I65" s="75"/>
      <c r="J65" s="580"/>
      <c r="K65" s="580"/>
      <c r="L65" s="173"/>
      <c r="M65" s="217"/>
      <c r="N65" s="217">
        <f>N64</f>
        <v>6.66</v>
      </c>
      <c r="O65" s="286" t="s">
        <v>1691</v>
      </c>
      <c r="P65" s="617"/>
      <c r="Q65" s="617"/>
      <c r="R65" s="180"/>
      <c r="S65" s="143" t="s">
        <v>42</v>
      </c>
    </row>
    <row r="66" spans="2:19" ht="15.75" customHeight="1" x14ac:dyDescent="0.25">
      <c r="B66" s="75"/>
      <c r="C66" s="75"/>
      <c r="D66" s="75"/>
      <c r="E66" s="75"/>
      <c r="F66" s="75"/>
      <c r="G66" s="75"/>
      <c r="H66" s="75"/>
      <c r="I66" s="75"/>
      <c r="J66" s="580"/>
      <c r="K66" s="580"/>
      <c r="L66" s="173"/>
      <c r="M66" s="240"/>
      <c r="N66" s="240">
        <v>0.79269999999999996</v>
      </c>
      <c r="O66" s="286" t="s">
        <v>1692</v>
      </c>
      <c r="P66" s="617" t="s">
        <v>1772</v>
      </c>
      <c r="Q66" s="617"/>
      <c r="R66" s="180"/>
      <c r="S66" s="143" t="s">
        <v>42</v>
      </c>
    </row>
    <row r="67" spans="2:19" ht="21.45" customHeight="1" x14ac:dyDescent="0.25">
      <c r="B67" s="75"/>
      <c r="C67" s="75"/>
      <c r="D67" s="75"/>
      <c r="E67" s="75"/>
      <c r="F67" s="75"/>
      <c r="G67" s="75"/>
      <c r="H67" s="75"/>
      <c r="I67" s="75"/>
      <c r="J67" s="580"/>
      <c r="K67" s="574"/>
      <c r="L67" s="201" t="s">
        <v>1683</v>
      </c>
      <c r="M67" s="241"/>
      <c r="N67" s="241">
        <f>N65/N66</f>
        <v>8.4016651949034955</v>
      </c>
      <c r="O67" s="287" t="s">
        <v>1657</v>
      </c>
      <c r="P67" s="620"/>
      <c r="Q67" s="620"/>
      <c r="R67" s="183"/>
      <c r="S67" s="143" t="s">
        <v>42</v>
      </c>
    </row>
    <row r="68" spans="2:19" ht="15.75" customHeight="1" x14ac:dyDescent="0.25">
      <c r="B68" s="75"/>
      <c r="C68" s="75"/>
      <c r="D68" s="75"/>
      <c r="E68" s="75"/>
      <c r="F68" s="75"/>
      <c r="G68" s="75"/>
      <c r="H68" s="75"/>
      <c r="I68" s="75"/>
      <c r="J68" s="580"/>
      <c r="K68" s="165"/>
      <c r="L68" s="193"/>
      <c r="M68" s="242"/>
      <c r="N68" s="217"/>
      <c r="O68" s="286"/>
      <c r="P68" s="193"/>
      <c r="Q68" s="193"/>
      <c r="R68" s="180"/>
      <c r="S68" s="143" t="s">
        <v>42</v>
      </c>
    </row>
    <row r="69" spans="2:19" ht="58.5" customHeight="1" x14ac:dyDescent="0.25">
      <c r="B69" s="75"/>
      <c r="C69" s="75"/>
      <c r="D69" s="75"/>
      <c r="E69" s="75"/>
      <c r="F69" s="75"/>
      <c r="G69" s="75"/>
      <c r="H69" s="75"/>
      <c r="I69" s="22"/>
      <c r="J69" s="580"/>
      <c r="K69" s="573" t="s">
        <v>1693</v>
      </c>
      <c r="L69" s="196" t="s">
        <v>1709</v>
      </c>
      <c r="M69" s="239">
        <v>110000000</v>
      </c>
      <c r="N69" s="239"/>
      <c r="O69" s="291" t="s">
        <v>1694</v>
      </c>
      <c r="P69" s="619" t="s">
        <v>1773</v>
      </c>
      <c r="Q69" s="619"/>
      <c r="R69" s="404" t="s">
        <v>1764</v>
      </c>
      <c r="S69" s="143" t="s">
        <v>42</v>
      </c>
    </row>
    <row r="70" spans="2:19" ht="15.75" customHeight="1" x14ac:dyDescent="0.25">
      <c r="B70" s="75"/>
      <c r="C70" s="75"/>
      <c r="D70" s="75"/>
      <c r="E70" s="75"/>
      <c r="F70" s="75"/>
      <c r="G70" s="75"/>
      <c r="H70" s="75"/>
      <c r="I70" s="75"/>
      <c r="J70" s="580"/>
      <c r="K70" s="580"/>
      <c r="L70" s="193"/>
      <c r="M70" s="243">
        <f>M69/((1/4.187)*1000)</f>
        <v>460570.00000000006</v>
      </c>
      <c r="N70" s="217"/>
      <c r="O70" s="286" t="s">
        <v>1695</v>
      </c>
      <c r="P70" s="617"/>
      <c r="Q70" s="617"/>
      <c r="R70" s="184"/>
      <c r="S70" s="143" t="s">
        <v>42</v>
      </c>
    </row>
    <row r="71" spans="2:19" ht="45" customHeight="1" x14ac:dyDescent="0.25">
      <c r="B71" s="75"/>
      <c r="C71" s="75"/>
      <c r="D71" s="75"/>
      <c r="E71" s="75"/>
      <c r="F71" s="75"/>
      <c r="G71" s="75"/>
      <c r="H71" s="75"/>
      <c r="I71" s="22"/>
      <c r="J71" s="580"/>
      <c r="K71" s="580"/>
      <c r="L71" s="193"/>
      <c r="M71" s="243">
        <v>6</v>
      </c>
      <c r="N71" s="217"/>
      <c r="O71" s="286"/>
      <c r="P71" s="617" t="s">
        <v>1774</v>
      </c>
      <c r="Q71" s="617"/>
      <c r="R71" s="180" t="s">
        <v>1765</v>
      </c>
      <c r="S71" s="143" t="s">
        <v>42</v>
      </c>
    </row>
    <row r="72" spans="2:19" ht="29.25" customHeight="1" x14ac:dyDescent="0.25">
      <c r="B72" s="75"/>
      <c r="C72" s="75"/>
      <c r="D72" s="75"/>
      <c r="E72" s="75"/>
      <c r="F72" s="75"/>
      <c r="G72" s="75"/>
      <c r="H72" s="75"/>
      <c r="I72" s="111" t="s">
        <v>42</v>
      </c>
      <c r="J72" s="580"/>
      <c r="K72" s="580"/>
      <c r="L72" s="193"/>
      <c r="M72" s="243">
        <f>M70/M71</f>
        <v>76761.666666666672</v>
      </c>
      <c r="N72" s="217"/>
      <c r="O72" s="286" t="s">
        <v>1695</v>
      </c>
      <c r="P72" s="617" t="s">
        <v>1741</v>
      </c>
      <c r="Q72" s="617"/>
      <c r="R72" s="184"/>
      <c r="S72" s="143" t="s">
        <v>42</v>
      </c>
    </row>
    <row r="73" spans="2:19" ht="15.75" customHeight="1" x14ac:dyDescent="0.25">
      <c r="B73" s="75"/>
      <c r="C73" s="75"/>
      <c r="D73" s="75"/>
      <c r="E73" s="75"/>
      <c r="F73" s="75"/>
      <c r="G73" s="75"/>
      <c r="H73" s="75"/>
      <c r="I73" s="111" t="s">
        <v>42</v>
      </c>
      <c r="J73" s="580"/>
      <c r="K73" s="580"/>
      <c r="L73" s="193"/>
      <c r="M73" s="243">
        <v>100000</v>
      </c>
      <c r="N73" s="217"/>
      <c r="O73" s="286" t="s">
        <v>1697</v>
      </c>
      <c r="P73" s="617" t="s">
        <v>1696</v>
      </c>
      <c r="Q73" s="617"/>
      <c r="R73" s="180"/>
      <c r="S73" s="143" t="s">
        <v>42</v>
      </c>
    </row>
    <row r="74" spans="2:19" ht="43.95" customHeight="1" x14ac:dyDescent="0.25">
      <c r="B74" s="75"/>
      <c r="C74" s="75"/>
      <c r="D74" s="75"/>
      <c r="E74" s="75"/>
      <c r="F74" s="75"/>
      <c r="G74" s="75"/>
      <c r="H74" s="75"/>
      <c r="I74" s="22"/>
      <c r="J74" s="580"/>
      <c r="K74" s="580"/>
      <c r="L74" s="193"/>
      <c r="M74" s="242">
        <f>M73/(365*24)</f>
        <v>11.415525114155251</v>
      </c>
      <c r="N74" s="217"/>
      <c r="O74" s="286" t="s">
        <v>1698</v>
      </c>
      <c r="P74" s="617" t="s">
        <v>1699</v>
      </c>
      <c r="Q74" s="617"/>
      <c r="R74" s="180"/>
      <c r="S74" s="143" t="s">
        <v>42</v>
      </c>
    </row>
    <row r="75" spans="2:19" ht="15.75" customHeight="1" x14ac:dyDescent="0.25">
      <c r="B75" s="75"/>
      <c r="C75" s="75"/>
      <c r="D75" s="75"/>
      <c r="E75" s="75"/>
      <c r="F75" s="75"/>
      <c r="G75" s="75"/>
      <c r="H75" s="75"/>
      <c r="I75" s="75"/>
      <c r="J75" s="580"/>
      <c r="K75" s="574"/>
      <c r="L75" s="201" t="s">
        <v>1683</v>
      </c>
      <c r="M75" s="241">
        <f>M72/(M74*1000)</f>
        <v>6.7243220000000008</v>
      </c>
      <c r="N75" s="270"/>
      <c r="O75" s="287" t="s">
        <v>1657</v>
      </c>
      <c r="P75" s="620" t="s">
        <v>1733</v>
      </c>
      <c r="Q75" s="620"/>
      <c r="R75" s="183"/>
      <c r="S75" s="143" t="s">
        <v>42</v>
      </c>
    </row>
    <row r="76" spans="2:19" ht="15.75" customHeight="1" x14ac:dyDescent="0.25">
      <c r="B76" s="75"/>
      <c r="C76" s="75"/>
      <c r="D76" s="75"/>
      <c r="E76" s="75"/>
      <c r="F76" s="75"/>
      <c r="G76" s="75"/>
      <c r="H76" s="75"/>
      <c r="I76" s="75"/>
      <c r="J76" s="580"/>
      <c r="K76" s="153"/>
      <c r="L76" s="173"/>
      <c r="M76" s="214"/>
      <c r="N76" s="214"/>
      <c r="O76" s="274"/>
      <c r="P76" s="173"/>
      <c r="Q76" s="173"/>
      <c r="R76" s="171"/>
      <c r="S76" s="143" t="s">
        <v>42</v>
      </c>
    </row>
    <row r="77" spans="2:19" ht="15.75" customHeight="1" x14ac:dyDescent="0.25">
      <c r="B77" s="75"/>
      <c r="C77" s="75"/>
      <c r="D77" s="75"/>
      <c r="E77" s="75"/>
      <c r="F77" s="75"/>
      <c r="G77" s="75"/>
      <c r="H77" s="75"/>
      <c r="I77" s="22"/>
      <c r="J77" s="581"/>
      <c r="K77" s="567" t="s">
        <v>1734</v>
      </c>
      <c r="L77" s="568"/>
      <c r="M77" s="244">
        <f>M62+M75</f>
        <v>7.6843220000000008</v>
      </c>
      <c r="N77" s="271">
        <f>N62+N67</f>
        <v>15.601665194903497</v>
      </c>
      <c r="O77" s="292" t="s">
        <v>1657</v>
      </c>
      <c r="P77" s="302"/>
      <c r="Q77" s="302"/>
      <c r="R77" s="185"/>
      <c r="S77" s="143" t="s">
        <v>42</v>
      </c>
    </row>
    <row r="78" spans="2:19" ht="15.75" customHeight="1" x14ac:dyDescent="0.25">
      <c r="B78" s="75"/>
      <c r="C78" s="75"/>
      <c r="D78" s="75"/>
      <c r="E78" s="75"/>
      <c r="F78" s="75"/>
      <c r="G78" s="75"/>
      <c r="H78" s="75"/>
      <c r="I78" s="149"/>
      <c r="J78" s="163"/>
      <c r="K78" s="112"/>
      <c r="S78" s="143" t="s">
        <v>42</v>
      </c>
    </row>
    <row r="79" spans="2:19" ht="15.75" customHeight="1" x14ac:dyDescent="0.25">
      <c r="R79" s="186" t="s">
        <v>42</v>
      </c>
      <c r="S79" s="143" t="s">
        <v>42</v>
      </c>
    </row>
    <row r="80" spans="2:19" ht="15.75" customHeight="1" x14ac:dyDescent="0.25">
      <c r="R80" s="186" t="s">
        <v>42</v>
      </c>
      <c r="S80" s="143" t="s">
        <v>42</v>
      </c>
    </row>
    <row r="81" spans="10:20" ht="15.75" customHeight="1" x14ac:dyDescent="0.25">
      <c r="J81" s="142" t="s">
        <v>1637</v>
      </c>
      <c r="K81" s="167" t="s">
        <v>1465</v>
      </c>
      <c r="L81" s="207" t="s">
        <v>1444</v>
      </c>
      <c r="M81" s="207" t="s">
        <v>1710</v>
      </c>
      <c r="N81" s="207" t="s">
        <v>1711</v>
      </c>
      <c r="O81" s="293" t="s">
        <v>1638</v>
      </c>
      <c r="P81" s="622" t="s">
        <v>1633</v>
      </c>
      <c r="Q81" s="622"/>
      <c r="R81" s="187" t="s">
        <v>1639</v>
      </c>
      <c r="S81" s="143" t="s">
        <v>42</v>
      </c>
    </row>
    <row r="82" spans="10:20" ht="27.75" customHeight="1" x14ac:dyDescent="0.25">
      <c r="J82" s="571" t="s">
        <v>1873</v>
      </c>
      <c r="K82" s="569" t="s">
        <v>1701</v>
      </c>
      <c r="L82" s="208" t="s">
        <v>1746</v>
      </c>
      <c r="M82" s="245">
        <v>2.5000000000000001E-2</v>
      </c>
      <c r="N82" s="245">
        <v>5.0000000000000001E-3</v>
      </c>
      <c r="O82" s="273" t="s">
        <v>1749</v>
      </c>
      <c r="P82" s="606"/>
      <c r="Q82" s="606"/>
      <c r="R82" s="170"/>
      <c r="S82" s="143" t="s">
        <v>42</v>
      </c>
    </row>
    <row r="83" spans="10:20" ht="43.95" customHeight="1" x14ac:dyDescent="0.25">
      <c r="J83" s="571"/>
      <c r="K83" s="570"/>
      <c r="L83" s="193" t="s">
        <v>1747</v>
      </c>
      <c r="M83" s="246">
        <v>1.35</v>
      </c>
      <c r="N83" s="267">
        <v>1.35</v>
      </c>
      <c r="O83" s="274" t="s">
        <v>1748</v>
      </c>
      <c r="P83" s="595" t="s">
        <v>1775</v>
      </c>
      <c r="Q83" s="595"/>
      <c r="R83" s="171" t="s">
        <v>1766</v>
      </c>
      <c r="S83" s="112" t="s">
        <v>42</v>
      </c>
    </row>
    <row r="84" spans="10:20" ht="15.75" customHeight="1" x14ac:dyDescent="0.25">
      <c r="J84" s="571"/>
      <c r="K84" s="162"/>
      <c r="L84" s="205" t="s">
        <v>1683</v>
      </c>
      <c r="M84" s="247">
        <f>(((1/M82)/1000)*M83)*3.6</f>
        <v>0.19440000000000002</v>
      </c>
      <c r="N84" s="247">
        <f>(((1/N82)/1000)*N83)*3.6</f>
        <v>0.97200000000000009</v>
      </c>
      <c r="O84" s="276" t="s">
        <v>1668</v>
      </c>
      <c r="P84" s="618"/>
      <c r="Q84" s="618"/>
      <c r="R84" s="181"/>
      <c r="S84" s="112" t="s">
        <v>42</v>
      </c>
    </row>
    <row r="85" spans="10:20" ht="15.75" customHeight="1" x14ac:dyDescent="0.25">
      <c r="J85" s="571"/>
      <c r="K85" s="158"/>
      <c r="L85" s="193"/>
      <c r="M85" s="217"/>
      <c r="N85" s="217"/>
      <c r="O85" s="286"/>
      <c r="P85" s="193"/>
      <c r="Q85" s="193"/>
      <c r="R85" s="180"/>
      <c r="S85" s="148" t="s">
        <v>42</v>
      </c>
    </row>
    <row r="86" spans="10:20" ht="36.9" customHeight="1" x14ac:dyDescent="0.25">
      <c r="J86" s="571"/>
      <c r="K86" s="565" t="s">
        <v>1702</v>
      </c>
      <c r="L86" s="209"/>
      <c r="M86" s="248">
        <v>8167</v>
      </c>
      <c r="N86" s="248">
        <v>8167</v>
      </c>
      <c r="O86" s="291" t="s">
        <v>1703</v>
      </c>
      <c r="P86" s="619"/>
      <c r="Q86" s="619"/>
      <c r="R86" s="188" t="s">
        <v>1767</v>
      </c>
      <c r="S86" s="112" t="s">
        <v>42</v>
      </c>
    </row>
    <row r="87" spans="10:20" ht="15.75" customHeight="1" x14ac:dyDescent="0.25">
      <c r="J87" s="571"/>
      <c r="K87" s="566"/>
      <c r="L87" s="201" t="s">
        <v>1683</v>
      </c>
      <c r="M87" s="249">
        <f>M86/1000</f>
        <v>8.1669999999999998</v>
      </c>
      <c r="N87" s="249">
        <f>N86/1000</f>
        <v>8.1669999999999998</v>
      </c>
      <c r="O87" s="278" t="s">
        <v>1668</v>
      </c>
      <c r="P87" s="620"/>
      <c r="Q87" s="620"/>
      <c r="R87" s="189"/>
      <c r="S87" s="148" t="s">
        <v>42</v>
      </c>
    </row>
    <row r="88" spans="10:20" ht="15.75" customHeight="1" x14ac:dyDescent="0.25">
      <c r="J88" s="571"/>
      <c r="K88" s="159"/>
      <c r="L88" s="210"/>
      <c r="M88" s="250"/>
      <c r="N88" s="250"/>
      <c r="O88" s="294"/>
      <c r="P88" s="210"/>
      <c r="Q88" s="210"/>
      <c r="R88" s="181"/>
      <c r="S88" s="148" t="s">
        <v>42</v>
      </c>
    </row>
    <row r="89" spans="10:20" ht="15.75" customHeight="1" x14ac:dyDescent="0.25">
      <c r="J89" s="572"/>
      <c r="K89" s="567" t="s">
        <v>1734</v>
      </c>
      <c r="L89" s="568"/>
      <c r="M89" s="237">
        <f>M84+M87</f>
        <v>8.3613999999999997</v>
      </c>
      <c r="N89" s="272">
        <f>N84+N87</f>
        <v>9.1389999999999993</v>
      </c>
      <c r="O89" s="276" t="s">
        <v>1657</v>
      </c>
      <c r="P89" s="621"/>
      <c r="Q89" s="621"/>
      <c r="R89" s="181"/>
      <c r="S89" s="112" t="s">
        <v>42</v>
      </c>
      <c r="T89" s="143" t="s">
        <v>42</v>
      </c>
    </row>
    <row r="90" spans="10:20" ht="15.75" customHeight="1" x14ac:dyDescent="0.25">
      <c r="S90" s="148" t="s">
        <v>42</v>
      </c>
    </row>
    <row r="91" spans="10:20" ht="15.75" customHeight="1" x14ac:dyDescent="0.25">
      <c r="S91" s="148" t="s">
        <v>42</v>
      </c>
      <c r="T91" s="143" t="s">
        <v>42</v>
      </c>
    </row>
    <row r="92" spans="10:20" ht="15.75" customHeight="1" x14ac:dyDescent="0.25">
      <c r="S92" s="112" t="s">
        <v>42</v>
      </c>
      <c r="T92" s="143" t="s">
        <v>42</v>
      </c>
    </row>
    <row r="93" spans="10:20" ht="15.75" customHeight="1" x14ac:dyDescent="0.25">
      <c r="J93" s="160" t="s">
        <v>1637</v>
      </c>
      <c r="K93" s="161" t="s">
        <v>1465</v>
      </c>
      <c r="L93" s="207" t="s">
        <v>1444</v>
      </c>
      <c r="M93" s="207" t="s">
        <v>1710</v>
      </c>
      <c r="N93" s="207" t="s">
        <v>1711</v>
      </c>
      <c r="O93" s="293" t="s">
        <v>1638</v>
      </c>
      <c r="P93" s="207" t="s">
        <v>1633</v>
      </c>
      <c r="Q93" s="207"/>
      <c r="R93" s="187" t="s">
        <v>1639</v>
      </c>
    </row>
    <row r="94" spans="10:20" ht="32.25" customHeight="1" x14ac:dyDescent="0.25">
      <c r="J94" s="575" t="s">
        <v>1874</v>
      </c>
      <c r="K94" s="569" t="s">
        <v>1701</v>
      </c>
      <c r="L94" s="208" t="s">
        <v>1746</v>
      </c>
      <c r="M94" s="245">
        <v>2.5000000000000001E-2</v>
      </c>
      <c r="N94" s="245">
        <v>5.0000000000000001E-3</v>
      </c>
      <c r="O94" s="273" t="s">
        <v>1749</v>
      </c>
      <c r="P94" s="606"/>
      <c r="Q94" s="606"/>
      <c r="R94" s="170"/>
    </row>
    <row r="95" spans="10:20" ht="34.950000000000003" customHeight="1" x14ac:dyDescent="0.25">
      <c r="J95" s="576"/>
      <c r="K95" s="570"/>
      <c r="L95" s="193" t="s">
        <v>1747</v>
      </c>
      <c r="M95" s="246">
        <v>1.35</v>
      </c>
      <c r="N95" s="267">
        <v>1.35</v>
      </c>
      <c r="O95" s="274" t="s">
        <v>1748</v>
      </c>
      <c r="P95" s="595" t="s">
        <v>1775</v>
      </c>
      <c r="Q95" s="595"/>
      <c r="R95" s="171" t="s">
        <v>1766</v>
      </c>
      <c r="S95" s="143" t="s">
        <v>42</v>
      </c>
    </row>
    <row r="96" spans="10:20" ht="15.75" customHeight="1" x14ac:dyDescent="0.25">
      <c r="J96" s="576"/>
      <c r="K96" s="162"/>
      <c r="L96" s="205" t="s">
        <v>1683</v>
      </c>
      <c r="M96" s="251">
        <f>(((1/M94)/1000)*M95)*3.6</f>
        <v>0.19440000000000002</v>
      </c>
      <c r="N96" s="251">
        <f>(((1/N94)/1000)*N95)*3.6</f>
        <v>0.97200000000000009</v>
      </c>
      <c r="O96" s="276" t="s">
        <v>1668</v>
      </c>
      <c r="P96" s="618"/>
      <c r="Q96" s="618"/>
      <c r="R96" s="181"/>
    </row>
    <row r="97" spans="10:20" ht="15.75" customHeight="1" x14ac:dyDescent="0.25">
      <c r="J97" s="576"/>
      <c r="K97" s="158"/>
      <c r="L97" s="193"/>
      <c r="M97" s="217"/>
      <c r="N97" s="217"/>
      <c r="O97" s="286"/>
      <c r="P97" s="193"/>
      <c r="Q97" s="193"/>
      <c r="R97" s="180"/>
    </row>
    <row r="98" spans="10:20" ht="15.75" customHeight="1" x14ac:dyDescent="0.25">
      <c r="J98" s="576"/>
      <c r="K98" s="402" t="s">
        <v>1704</v>
      </c>
      <c r="L98" s="208"/>
      <c r="M98" s="212"/>
      <c r="N98" s="212"/>
      <c r="O98" s="273"/>
      <c r="P98" s="606"/>
      <c r="Q98" s="606"/>
      <c r="R98" s="170"/>
      <c r="S98" s="143" t="s">
        <v>42</v>
      </c>
    </row>
    <row r="99" spans="10:20" ht="15.75" customHeight="1" x14ac:dyDescent="0.25">
      <c r="J99" s="576"/>
      <c r="K99" s="403"/>
      <c r="L99" s="205" t="s">
        <v>1683</v>
      </c>
      <c r="M99" s="252">
        <v>1.5</v>
      </c>
      <c r="N99" s="252">
        <v>11</v>
      </c>
      <c r="O99" s="279" t="s">
        <v>1668</v>
      </c>
      <c r="P99" s="618"/>
      <c r="Q99" s="618"/>
      <c r="R99" s="172" t="s">
        <v>1895</v>
      </c>
    </row>
    <row r="100" spans="10:20" ht="15.75" customHeight="1" x14ac:dyDescent="0.25">
      <c r="J100" s="576"/>
      <c r="K100" s="153"/>
      <c r="L100" s="173"/>
      <c r="M100" s="214"/>
      <c r="N100" s="214"/>
      <c r="O100" s="274"/>
      <c r="P100" s="173"/>
      <c r="Q100" s="173"/>
      <c r="R100" s="171"/>
    </row>
    <row r="101" spans="10:20" ht="49.35" customHeight="1" x14ac:dyDescent="0.25">
      <c r="J101" s="576"/>
      <c r="K101" s="569" t="s">
        <v>1705</v>
      </c>
      <c r="L101" s="208" t="s">
        <v>1706</v>
      </c>
      <c r="M101" s="253">
        <v>30</v>
      </c>
      <c r="N101" s="253">
        <v>20</v>
      </c>
      <c r="O101" s="303" t="s">
        <v>1776</v>
      </c>
      <c r="P101" s="391" t="s">
        <v>1777</v>
      </c>
      <c r="Q101" s="391"/>
      <c r="R101" s="190" t="s">
        <v>1985</v>
      </c>
      <c r="S101" s="143" t="s">
        <v>42</v>
      </c>
    </row>
    <row r="102" spans="10:20" ht="33.75" customHeight="1" x14ac:dyDescent="0.25">
      <c r="J102" s="576"/>
      <c r="K102" s="570"/>
      <c r="L102" s="193" t="s">
        <v>1735</v>
      </c>
      <c r="M102" s="254">
        <v>5</v>
      </c>
      <c r="N102" s="254">
        <v>5</v>
      </c>
      <c r="O102" s="286" t="s">
        <v>1707</v>
      </c>
      <c r="R102" s="180" t="s">
        <v>1984</v>
      </c>
    </row>
    <row r="103" spans="10:20" ht="15.75" customHeight="1" x14ac:dyDescent="0.25">
      <c r="J103" s="576"/>
      <c r="K103" s="570"/>
      <c r="L103" s="193"/>
      <c r="M103" s="254">
        <f>M102*3.6</f>
        <v>18</v>
      </c>
      <c r="N103" s="254">
        <f>N102*3.6</f>
        <v>18</v>
      </c>
      <c r="O103" s="286" t="s">
        <v>1750</v>
      </c>
      <c r="P103" s="407"/>
      <c r="Q103" s="407"/>
      <c r="R103" s="180"/>
    </row>
    <row r="104" spans="10:20" ht="39.75" customHeight="1" x14ac:dyDescent="0.25">
      <c r="J104" s="576"/>
      <c r="K104" s="570"/>
      <c r="L104" s="193"/>
      <c r="M104" s="255"/>
      <c r="N104" s="255"/>
      <c r="O104" s="286"/>
      <c r="P104" s="407"/>
      <c r="Q104" s="407"/>
      <c r="R104" s="180"/>
    </row>
    <row r="105" spans="10:20" ht="26.25" customHeight="1" x14ac:dyDescent="0.25">
      <c r="J105" s="576"/>
      <c r="K105" s="578"/>
      <c r="L105" s="205" t="s">
        <v>1683</v>
      </c>
      <c r="M105" s="256">
        <f>M103/M101</f>
        <v>0.6</v>
      </c>
      <c r="N105" s="256">
        <f>N103/N101</f>
        <v>0.9</v>
      </c>
      <c r="O105" s="279" t="s">
        <v>1742</v>
      </c>
      <c r="P105" s="408" t="s">
        <v>1751</v>
      </c>
      <c r="Q105" s="408"/>
      <c r="R105" s="181"/>
    </row>
    <row r="106" spans="10:20" ht="11.25" customHeight="1" x14ac:dyDescent="0.25">
      <c r="J106" s="576"/>
    </row>
    <row r="107" spans="10:20" ht="30" customHeight="1" x14ac:dyDescent="0.25">
      <c r="J107" s="576"/>
      <c r="K107" s="573" t="s">
        <v>1983</v>
      </c>
      <c r="L107" s="209"/>
      <c r="M107" s="248">
        <v>8167</v>
      </c>
      <c r="N107" s="248">
        <v>8167</v>
      </c>
      <c r="O107" s="291" t="s">
        <v>1703</v>
      </c>
      <c r="P107" s="619"/>
      <c r="Q107" s="619"/>
      <c r="R107" s="188" t="s">
        <v>1767</v>
      </c>
    </row>
    <row r="108" spans="10:20" ht="29.25" customHeight="1" x14ac:dyDescent="0.25">
      <c r="J108" s="576"/>
      <c r="K108" s="574"/>
      <c r="L108" s="201" t="s">
        <v>1683</v>
      </c>
      <c r="M108" s="249">
        <f>M107/1000</f>
        <v>8.1669999999999998</v>
      </c>
      <c r="N108" s="249">
        <f>N107/1000</f>
        <v>8.1669999999999998</v>
      </c>
      <c r="O108" s="278" t="s">
        <v>1668</v>
      </c>
      <c r="P108" s="620"/>
      <c r="Q108" s="620"/>
      <c r="R108" s="183"/>
      <c r="T108" s="143" t="s">
        <v>42</v>
      </c>
    </row>
    <row r="109" spans="10:20" ht="15.75" customHeight="1" x14ac:dyDescent="0.25">
      <c r="J109" s="576"/>
      <c r="K109" s="403"/>
      <c r="L109" s="210"/>
      <c r="M109" s="257"/>
      <c r="N109" s="257"/>
      <c r="O109" s="294"/>
      <c r="P109" s="210"/>
      <c r="Q109" s="210"/>
      <c r="R109" s="181"/>
    </row>
    <row r="110" spans="10:20" ht="15.75" customHeight="1" x14ac:dyDescent="0.25">
      <c r="J110" s="577"/>
      <c r="K110" s="567" t="s">
        <v>1734</v>
      </c>
      <c r="L110" s="568"/>
      <c r="M110" s="237">
        <f>M96+M99+M108+M105</f>
        <v>10.461399999999999</v>
      </c>
      <c r="N110" s="272">
        <f>N96+N99+N108+N105</f>
        <v>21.038999999999998</v>
      </c>
      <c r="O110" s="276" t="s">
        <v>1657</v>
      </c>
      <c r="P110" s="621"/>
      <c r="Q110" s="621"/>
      <c r="R110" s="181"/>
    </row>
    <row r="111" spans="10:20" ht="15.75" customHeight="1" x14ac:dyDescent="0.25"/>
    <row r="112" spans="10:20"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sheetData>
  <mergeCells count="92">
    <mergeCell ref="P110:Q110"/>
    <mergeCell ref="P59:Q59"/>
    <mergeCell ref="P108:Q108"/>
    <mergeCell ref="P95:Q95"/>
    <mergeCell ref="P96:Q96"/>
    <mergeCell ref="P98:Q98"/>
    <mergeCell ref="P99:Q99"/>
    <mergeCell ref="P107:Q107"/>
    <mergeCell ref="P84:Q84"/>
    <mergeCell ref="P86:Q86"/>
    <mergeCell ref="P87:Q87"/>
    <mergeCell ref="P89:Q89"/>
    <mergeCell ref="P94:Q94"/>
    <mergeCell ref="P74:Q74"/>
    <mergeCell ref="P75:Q75"/>
    <mergeCell ref="P81:Q81"/>
    <mergeCell ref="P83:Q83"/>
    <mergeCell ref="P82:Q82"/>
    <mergeCell ref="P69:Q69"/>
    <mergeCell ref="P70:Q70"/>
    <mergeCell ref="P71:Q71"/>
    <mergeCell ref="P72:Q72"/>
    <mergeCell ref="P73:Q73"/>
    <mergeCell ref="P62:Q62"/>
    <mergeCell ref="P64:Q64"/>
    <mergeCell ref="P65:Q65"/>
    <mergeCell ref="P66:Q66"/>
    <mergeCell ref="P67:Q67"/>
    <mergeCell ref="P58:Q58"/>
    <mergeCell ref="P57:Q57"/>
    <mergeCell ref="P51:Q51"/>
    <mergeCell ref="P60:Q60"/>
    <mergeCell ref="P61:Q61"/>
    <mergeCell ref="P27:Q27"/>
    <mergeCell ref="P28:Q28"/>
    <mergeCell ref="P1:Q1"/>
    <mergeCell ref="P2:Q2"/>
    <mergeCell ref="P3:Q3"/>
    <mergeCell ref="P5:Q5"/>
    <mergeCell ref="P4:Q4"/>
    <mergeCell ref="P29:Q29"/>
    <mergeCell ref="P30:Q30"/>
    <mergeCell ref="P31:Q31"/>
    <mergeCell ref="P32:Q32"/>
    <mergeCell ref="O36:O39"/>
    <mergeCell ref="P35:Q35"/>
    <mergeCell ref="P36:Q39"/>
    <mergeCell ref="R47:R49"/>
    <mergeCell ref="K52:K54"/>
    <mergeCell ref="R36:R39"/>
    <mergeCell ref="R42:R43"/>
    <mergeCell ref="P44:Q44"/>
    <mergeCell ref="P46:Q46"/>
    <mergeCell ref="P47:Q49"/>
    <mergeCell ref="P52:Q52"/>
    <mergeCell ref="P54:Q54"/>
    <mergeCell ref="P53:Q53"/>
    <mergeCell ref="P41:Q41"/>
    <mergeCell ref="P42:Q42"/>
    <mergeCell ref="P43:Q43"/>
    <mergeCell ref="B46:B48"/>
    <mergeCell ref="B52:B54"/>
    <mergeCell ref="B24:B27"/>
    <mergeCell ref="B31:B38"/>
    <mergeCell ref="K28:K32"/>
    <mergeCell ref="K36:K39"/>
    <mergeCell ref="K42:K44"/>
    <mergeCell ref="K47:K49"/>
    <mergeCell ref="B2:B9"/>
    <mergeCell ref="K2:K6"/>
    <mergeCell ref="K11:K19"/>
    <mergeCell ref="K23:K25"/>
    <mergeCell ref="R23:R25"/>
    <mergeCell ref="B12:B17"/>
    <mergeCell ref="P6:Q6"/>
    <mergeCell ref="P23:Q25"/>
    <mergeCell ref="P22:Q22"/>
    <mergeCell ref="K58:K62"/>
    <mergeCell ref="J2:J54"/>
    <mergeCell ref="K77:L77"/>
    <mergeCell ref="K69:K75"/>
    <mergeCell ref="K64:K67"/>
    <mergeCell ref="J58:J77"/>
    <mergeCell ref="K86:K87"/>
    <mergeCell ref="K89:L89"/>
    <mergeCell ref="K82:K83"/>
    <mergeCell ref="J82:J89"/>
    <mergeCell ref="K110:L110"/>
    <mergeCell ref="K94:K95"/>
    <mergeCell ref="K107:K108"/>
    <mergeCell ref="J94:J110"/>
    <mergeCell ref="K101:K10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R1024"/>
  <sheetViews>
    <sheetView topLeftCell="AB1" workbookViewId="0">
      <selection activeCell="AS15" sqref="AS15"/>
    </sheetView>
  </sheetViews>
  <sheetFormatPr defaultColWidth="9.109375" defaultRowHeight="14.4" x14ac:dyDescent="0.3"/>
  <cols>
    <col min="1" max="1" width="3.5546875" style="54" customWidth="1"/>
    <col min="2" max="2" width="20.33203125" style="54" customWidth="1"/>
    <col min="3" max="3" width="15.6640625" style="54" customWidth="1"/>
    <col min="4" max="6" width="9.109375" style="54"/>
    <col min="7" max="7" width="10.88671875" style="54" customWidth="1"/>
    <col min="8" max="8" width="12" style="54" bestFit="1" customWidth="1"/>
    <col min="9" max="11" width="9.109375" style="54"/>
    <col min="12" max="12" width="11.109375" style="54" customWidth="1"/>
    <col min="13" max="13" width="11.88671875" style="54" customWidth="1"/>
    <col min="14" max="16" width="9.109375" style="54"/>
    <col min="17" max="17" width="10.88671875" style="54" customWidth="1"/>
    <col min="18" max="18" width="11" style="54" customWidth="1"/>
    <col min="19" max="20" width="9.109375" style="54"/>
    <col min="21" max="21" width="13.44140625" style="54" customWidth="1"/>
    <col min="22" max="22" width="5.6640625" style="54" customWidth="1"/>
    <col min="23" max="23" width="12.5546875" style="54" customWidth="1"/>
    <col min="24" max="24" width="10.6640625" style="54" customWidth="1"/>
    <col min="25" max="25" width="9.109375" style="54"/>
    <col min="26" max="26" width="10.33203125" style="54" customWidth="1"/>
    <col min="27" max="27" width="14.6640625" style="54" customWidth="1"/>
    <col min="28" max="29" width="9.109375" style="54"/>
    <col min="30" max="30" width="13.88671875" style="54" customWidth="1"/>
    <col min="31" max="32" width="16.6640625" style="54" customWidth="1"/>
    <col min="33" max="33" width="9.109375" style="54"/>
    <col min="34" max="34" width="20.44140625" style="54" customWidth="1"/>
    <col min="35" max="35" width="9.33203125" style="54" customWidth="1"/>
    <col min="36" max="36" width="9.109375" style="54"/>
    <col min="37" max="37" width="14.6640625" style="54" customWidth="1"/>
    <col min="38" max="38" width="10.5546875" style="54" bestFit="1" customWidth="1"/>
    <col min="39" max="39" width="15.33203125" style="54" customWidth="1"/>
    <col min="40" max="40" width="13.88671875" style="54" customWidth="1"/>
    <col min="41" max="41" width="13.6640625" style="54" customWidth="1"/>
    <col min="42" max="42" width="14.88671875" style="54" customWidth="1"/>
    <col min="43" max="43" width="9.109375" style="54"/>
    <col min="44" max="44" width="21.5546875" style="54" customWidth="1"/>
    <col min="45" max="47" width="17.88671875" style="54" customWidth="1"/>
    <col min="48" max="48" width="22" style="54" customWidth="1"/>
    <col min="49" max="16384" width="9.109375" style="54"/>
  </cols>
  <sheetData>
    <row r="1" spans="1:44" x14ac:dyDescent="0.3">
      <c r="A1" s="360"/>
      <c r="B1" s="361"/>
      <c r="C1" s="361"/>
      <c r="D1" s="361"/>
      <c r="E1" s="644">
        <v>2017</v>
      </c>
      <c r="F1" s="645"/>
      <c r="G1" s="645"/>
      <c r="H1" s="646"/>
      <c r="I1" s="362"/>
      <c r="J1" s="644">
        <v>2018</v>
      </c>
      <c r="K1" s="645"/>
      <c r="L1" s="645"/>
      <c r="M1" s="646"/>
      <c r="N1" s="362"/>
      <c r="O1" s="644">
        <v>2019</v>
      </c>
      <c r="P1" s="645"/>
      <c r="Q1" s="645"/>
      <c r="R1" s="646"/>
    </row>
    <row r="2" spans="1:44" ht="36.75" customHeight="1" x14ac:dyDescent="0.5">
      <c r="A2" s="363"/>
      <c r="B2" s="364" t="s">
        <v>1464</v>
      </c>
      <c r="C2" s="364" t="s">
        <v>1465</v>
      </c>
      <c r="D2" s="364"/>
      <c r="E2" s="365" t="s">
        <v>1846</v>
      </c>
      <c r="F2" s="366" t="s">
        <v>1847</v>
      </c>
      <c r="G2" s="366" t="s">
        <v>1848</v>
      </c>
      <c r="H2" s="367" t="s">
        <v>1849</v>
      </c>
      <c r="I2" s="364"/>
      <c r="J2" s="365" t="s">
        <v>1846</v>
      </c>
      <c r="K2" s="366" t="s">
        <v>1847</v>
      </c>
      <c r="L2" s="366" t="s">
        <v>1848</v>
      </c>
      <c r="M2" s="367" t="s">
        <v>1849</v>
      </c>
      <c r="N2" s="364"/>
      <c r="O2" s="365" t="s">
        <v>1846</v>
      </c>
      <c r="P2" s="366" t="s">
        <v>1847</v>
      </c>
      <c r="Q2" s="366" t="s">
        <v>1848</v>
      </c>
      <c r="R2" s="367" t="s">
        <v>1849</v>
      </c>
      <c r="AO2" s="653" t="s">
        <v>1876</v>
      </c>
      <c r="AP2" s="654"/>
      <c r="AQ2" s="654"/>
      <c r="AR2" s="655"/>
    </row>
    <row r="3" spans="1:44" ht="15.75" customHeight="1" x14ac:dyDescent="0.3">
      <c r="B3" s="54" t="s">
        <v>1467</v>
      </c>
      <c r="C3" s="54" t="s">
        <v>24</v>
      </c>
      <c r="E3" s="1">
        <v>134225</v>
      </c>
      <c r="F3" s="309">
        <v>12957</v>
      </c>
      <c r="G3" s="309">
        <v>173912</v>
      </c>
      <c r="H3" s="368">
        <f t="shared" ref="H3:H66" si="0">G3/(VLOOKUP($C3,$W$5:$Z$13,2,FALSE)*10^6)</f>
        <v>1.5343220458178972E-4</v>
      </c>
      <c r="J3" s="1">
        <v>72433</v>
      </c>
      <c r="K3" s="309">
        <v>14727</v>
      </c>
      <c r="L3" s="309">
        <v>106670</v>
      </c>
      <c r="M3" s="368">
        <f t="shared" ref="M3:M66" si="1">L3/(VLOOKUP($C3,$W$5:$Z$13,3,FALSE)*10^6)</f>
        <v>9.5179010804389018E-5</v>
      </c>
      <c r="O3" s="1">
        <v>94910</v>
      </c>
      <c r="P3" s="309">
        <v>19457</v>
      </c>
      <c r="Q3" s="309">
        <v>184671</v>
      </c>
      <c r="R3" s="368">
        <f t="shared" ref="R3:R66" si="2">Q3/(VLOOKUP($C3,$W$5:$Z$13,4,FALSE)*10^6)</f>
        <v>1.6119216018194548E-4</v>
      </c>
      <c r="W3" s="623" t="s">
        <v>1850</v>
      </c>
      <c r="X3" s="624"/>
      <c r="Y3" s="624"/>
      <c r="Z3" s="624"/>
      <c r="AA3" s="625"/>
      <c r="AD3" s="623" t="s">
        <v>1851</v>
      </c>
      <c r="AE3" s="624"/>
      <c r="AF3" s="624"/>
      <c r="AG3" s="624"/>
      <c r="AH3" s="625"/>
      <c r="AJ3" s="650" t="s">
        <v>1474</v>
      </c>
      <c r="AK3" s="651"/>
      <c r="AL3" s="652"/>
      <c r="AO3" s="647" t="s">
        <v>1877</v>
      </c>
      <c r="AP3" s="649"/>
      <c r="AQ3" s="647" t="s">
        <v>1862</v>
      </c>
      <c r="AR3" s="648"/>
    </row>
    <row r="4" spans="1:44" x14ac:dyDescent="0.3">
      <c r="B4" s="54" t="s">
        <v>1467</v>
      </c>
      <c r="C4" s="54" t="s">
        <v>25</v>
      </c>
      <c r="E4" s="1">
        <v>32116</v>
      </c>
      <c r="F4" s="309">
        <v>159794</v>
      </c>
      <c r="G4" s="309">
        <v>513194</v>
      </c>
      <c r="H4" s="368">
        <f t="shared" si="0"/>
        <v>1.3888371805001506E-3</v>
      </c>
      <c r="J4" s="1">
        <v>32400</v>
      </c>
      <c r="K4" s="309">
        <v>190026</v>
      </c>
      <c r="L4" s="309">
        <v>615684</v>
      </c>
      <c r="M4" s="368">
        <f t="shared" si="1"/>
        <v>1.6882759354139056E-3</v>
      </c>
      <c r="O4" s="1">
        <v>57066</v>
      </c>
      <c r="P4" s="309">
        <v>161413</v>
      </c>
      <c r="Q4" s="309">
        <v>921122</v>
      </c>
      <c r="R4" s="368">
        <f t="shared" si="2"/>
        <v>2.4907522249807625E-3</v>
      </c>
      <c r="W4" s="369"/>
      <c r="X4" s="364">
        <v>2017</v>
      </c>
      <c r="Y4" s="364">
        <v>2018</v>
      </c>
      <c r="Z4" s="364">
        <v>2019</v>
      </c>
      <c r="AA4" s="370" t="s">
        <v>1852</v>
      </c>
      <c r="AD4" s="369"/>
      <c r="AE4" s="364">
        <v>2017</v>
      </c>
      <c r="AF4" s="364">
        <v>2018</v>
      </c>
      <c r="AG4" s="364">
        <v>2019</v>
      </c>
      <c r="AH4" s="370" t="s">
        <v>1852</v>
      </c>
      <c r="AJ4" s="102" t="s">
        <v>1635</v>
      </c>
      <c r="AK4" s="103" t="s">
        <v>1475</v>
      </c>
      <c r="AL4" s="72" t="s">
        <v>1476</v>
      </c>
      <c r="AO4" s="365" t="s">
        <v>1466</v>
      </c>
      <c r="AP4" s="366" t="s">
        <v>1859</v>
      </c>
      <c r="AQ4" s="365" t="s">
        <v>1860</v>
      </c>
      <c r="AR4" s="410" t="s">
        <v>1861</v>
      </c>
    </row>
    <row r="5" spans="1:44" x14ac:dyDescent="0.3">
      <c r="B5" s="54" t="s">
        <v>1467</v>
      </c>
      <c r="C5" s="54" t="s">
        <v>1468</v>
      </c>
      <c r="E5" s="1">
        <v>109452</v>
      </c>
      <c r="F5" s="309">
        <v>30919</v>
      </c>
      <c r="G5" s="309">
        <v>338420</v>
      </c>
      <c r="H5" s="368">
        <f t="shared" si="0"/>
        <v>4.7736878007219135E-4</v>
      </c>
      <c r="J5" s="1">
        <v>117539</v>
      </c>
      <c r="K5" s="309">
        <v>29963</v>
      </c>
      <c r="L5" s="309">
        <v>352177</v>
      </c>
      <c r="M5" s="368">
        <f t="shared" si="1"/>
        <v>4.8998673633924282E-4</v>
      </c>
      <c r="O5" s="1">
        <v>127530</v>
      </c>
      <c r="P5" s="309">
        <v>29993</v>
      </c>
      <c r="Q5" s="309">
        <v>382500</v>
      </c>
      <c r="R5" s="368">
        <f t="shared" si="2"/>
        <v>5.3722351359987018E-4</v>
      </c>
      <c r="W5" s="371" t="s">
        <v>24</v>
      </c>
      <c r="X5" s="372">
        <f t="shared" ref="X5:X13" si="3">SUMIF($C$3:$C$1002,$W5,$G$3:$G$1002)/10^6</f>
        <v>1133.477815</v>
      </c>
      <c r="Y5" s="372">
        <f t="shared" ref="Y5:Y13" si="4">SUMIF($C$3:$C$1002,$W5,$L$3:$L$1002)/10^6</f>
        <v>1120.730286</v>
      </c>
      <c r="Z5" s="78">
        <f t="shared" ref="Z5:Z13" si="5">SUMIF($C$3:$C$1002,$W5,$Q$3:$Q$1002)/10^6</f>
        <v>1145.657455</v>
      </c>
      <c r="AA5" s="78">
        <f>AVERAGE(X5:Z5)</f>
        <v>1133.2885186666667</v>
      </c>
      <c r="AD5" s="371" t="s">
        <v>24</v>
      </c>
      <c r="AE5" s="372">
        <f t="shared" ref="AE5:AE13" si="6">SUMIF($C$3:$C$1002,$AD5,$E$3:$E$1002)/10^6</f>
        <v>195.65300500000001</v>
      </c>
      <c r="AF5" s="372">
        <f t="shared" ref="AF5:AF13" si="7">SUMIF($C$3:$C$1002,$AD5,$J$3:$J$1002)/10^6</f>
        <v>194.52393799999999</v>
      </c>
      <c r="AG5" s="78">
        <f t="shared" ref="AG5:AG13" si="8">SUMIF($C$3:$C$1002,$AD5,$O$3:$O$1002)/10^6</f>
        <v>195.45004900000001</v>
      </c>
      <c r="AH5" s="78">
        <f>AVERAGE(AE5:AG5)</f>
        <v>195.20899733333331</v>
      </c>
      <c r="AJ5" s="1" t="s">
        <v>27</v>
      </c>
      <c r="AK5" s="104">
        <v>0.38</v>
      </c>
      <c r="AL5" s="105">
        <v>335</v>
      </c>
      <c r="AN5" s="359" t="s">
        <v>24</v>
      </c>
      <c r="AO5" s="392">
        <v>2643.6369395224533</v>
      </c>
      <c r="AP5" s="389">
        <v>70.546491363660977</v>
      </c>
      <c r="AQ5" s="392">
        <v>195.20899733333331</v>
      </c>
      <c r="AR5" s="390">
        <v>1133.2885186666667</v>
      </c>
    </row>
    <row r="6" spans="1:44" x14ac:dyDescent="0.3">
      <c r="B6" s="54" t="s">
        <v>1467</v>
      </c>
      <c r="C6" s="54" t="s">
        <v>1469</v>
      </c>
      <c r="E6" s="1">
        <v>201</v>
      </c>
      <c r="F6" s="309">
        <v>104577</v>
      </c>
      <c r="G6" s="309">
        <v>2102</v>
      </c>
      <c r="H6" s="368">
        <f t="shared" si="0"/>
        <v>6.6944934657380566E-6</v>
      </c>
      <c r="J6" s="1">
        <v>196</v>
      </c>
      <c r="K6" s="309">
        <v>273622</v>
      </c>
      <c r="L6" s="309">
        <v>5363</v>
      </c>
      <c r="M6" s="368">
        <f t="shared" si="1"/>
        <v>1.9593605101787501E-5</v>
      </c>
      <c r="O6" s="1">
        <v>616</v>
      </c>
      <c r="P6" s="309">
        <v>150714</v>
      </c>
      <c r="Q6" s="309">
        <v>9284</v>
      </c>
      <c r="R6" s="368">
        <f t="shared" si="2"/>
        <v>3.3335968900025774E-5</v>
      </c>
      <c r="W6" s="371" t="s">
        <v>25</v>
      </c>
      <c r="X6" s="372">
        <f t="shared" si="3"/>
        <v>369.51343700000001</v>
      </c>
      <c r="Y6" s="372">
        <f t="shared" si="4"/>
        <v>364.68209200000001</v>
      </c>
      <c r="Z6" s="78">
        <f t="shared" si="5"/>
        <v>369.81679300000002</v>
      </c>
      <c r="AA6" s="78">
        <f t="shared" ref="AA6:AA13" si="9">AVERAGE(X6:Z6)</f>
        <v>368.00410733333337</v>
      </c>
      <c r="AD6" s="371" t="s">
        <v>25</v>
      </c>
      <c r="AE6" s="372">
        <f t="shared" si="6"/>
        <v>17.40326</v>
      </c>
      <c r="AF6" s="372">
        <f t="shared" si="7"/>
        <v>17.118268</v>
      </c>
      <c r="AG6" s="78">
        <f t="shared" si="8"/>
        <v>17.297917999999999</v>
      </c>
      <c r="AH6" s="78">
        <f t="shared" ref="AH6:AH13" si="10">AVERAGE(AE6:AG6)</f>
        <v>17.273148666666668</v>
      </c>
      <c r="AJ6" s="1" t="s">
        <v>24</v>
      </c>
      <c r="AK6" s="104">
        <v>9.5000000000000001E-2</v>
      </c>
      <c r="AL6" s="105">
        <v>356</v>
      </c>
      <c r="AN6" s="371" t="s">
        <v>25</v>
      </c>
      <c r="AO6" s="393">
        <v>1676.2462740876929</v>
      </c>
      <c r="AP6" s="372">
        <v>40.02976176925835</v>
      </c>
      <c r="AQ6" s="393">
        <v>17.273148666666668</v>
      </c>
      <c r="AR6" s="78">
        <v>368.00410733333337</v>
      </c>
    </row>
    <row r="7" spans="1:44" x14ac:dyDescent="0.3">
      <c r="B7" s="54" t="s">
        <v>1467</v>
      </c>
      <c r="C7" s="54" t="s">
        <v>1470</v>
      </c>
      <c r="E7" s="1">
        <v>1145</v>
      </c>
      <c r="F7" s="309">
        <v>294541</v>
      </c>
      <c r="G7" s="309">
        <v>33725</v>
      </c>
      <c r="H7" s="368">
        <f t="shared" si="0"/>
        <v>1.8639018733242912E-5</v>
      </c>
      <c r="J7" s="1">
        <v>1766</v>
      </c>
      <c r="K7" s="309">
        <v>143947</v>
      </c>
      <c r="L7" s="309">
        <v>25421</v>
      </c>
      <c r="M7" s="368">
        <f t="shared" si="1"/>
        <v>1.334892009276517E-5</v>
      </c>
      <c r="O7" s="1">
        <v>1653</v>
      </c>
      <c r="P7" s="309">
        <v>221041</v>
      </c>
      <c r="Q7" s="309">
        <v>36538</v>
      </c>
      <c r="R7" s="368">
        <f t="shared" si="2"/>
        <v>1.8976007223201725E-5</v>
      </c>
      <c r="W7" s="371" t="s">
        <v>1468</v>
      </c>
      <c r="X7" s="372">
        <f t="shared" si="3"/>
        <v>708.92780200000004</v>
      </c>
      <c r="Y7" s="372">
        <f t="shared" si="4"/>
        <v>718.74802699999998</v>
      </c>
      <c r="Z7" s="78">
        <f t="shared" si="5"/>
        <v>711.99415199999999</v>
      </c>
      <c r="AA7" s="78">
        <f t="shared" si="9"/>
        <v>713.22332700000004</v>
      </c>
      <c r="AD7" s="371" t="s">
        <v>1468</v>
      </c>
      <c r="AE7" s="372">
        <f t="shared" si="6"/>
        <v>157.196449</v>
      </c>
      <c r="AF7" s="372">
        <f t="shared" si="7"/>
        <v>157.89780500000001</v>
      </c>
      <c r="AG7" s="78">
        <f t="shared" si="8"/>
        <v>154.53541200000001</v>
      </c>
      <c r="AH7" s="78">
        <f t="shared" si="10"/>
        <v>156.54322199999999</v>
      </c>
      <c r="AJ7" s="1" t="s">
        <v>25</v>
      </c>
      <c r="AK7" s="104">
        <v>1.6E-2</v>
      </c>
      <c r="AL7" s="105">
        <v>67</v>
      </c>
      <c r="AN7" s="371" t="s">
        <v>1468</v>
      </c>
      <c r="AO7" s="393">
        <v>1448.9489607083369</v>
      </c>
      <c r="AP7" s="372">
        <v>31.048906300892934</v>
      </c>
      <c r="AQ7" s="393">
        <v>156.54322199999999</v>
      </c>
      <c r="AR7" s="78">
        <v>713.22332700000004</v>
      </c>
    </row>
    <row r="8" spans="1:44" x14ac:dyDescent="0.3">
      <c r="B8" s="54" t="s">
        <v>1467</v>
      </c>
      <c r="C8" s="54" t="s">
        <v>26</v>
      </c>
      <c r="E8" s="1">
        <v>2104377</v>
      </c>
      <c r="F8" s="309">
        <v>20342</v>
      </c>
      <c r="G8" s="309">
        <v>4280776</v>
      </c>
      <c r="H8" s="368">
        <f t="shared" si="0"/>
        <v>5.5452777955052011E-3</v>
      </c>
      <c r="J8" s="1">
        <v>1635000</v>
      </c>
      <c r="K8" s="309">
        <v>22100</v>
      </c>
      <c r="L8" s="309">
        <v>3613300</v>
      </c>
      <c r="M8" s="368">
        <f t="shared" si="1"/>
        <v>4.9285635586454402E-3</v>
      </c>
      <c r="O8" s="1">
        <v>2334000</v>
      </c>
      <c r="P8" s="309">
        <v>20951</v>
      </c>
      <c r="Q8" s="309">
        <v>4890000</v>
      </c>
      <c r="R8" s="368">
        <f t="shared" si="2"/>
        <v>6.3885036992042772E-3</v>
      </c>
      <c r="W8" s="371" t="s">
        <v>1469</v>
      </c>
      <c r="X8" s="372">
        <f t="shared" si="3"/>
        <v>313.98940199999998</v>
      </c>
      <c r="Y8" s="372">
        <f t="shared" si="4"/>
        <v>273.71175299999999</v>
      </c>
      <c r="Z8" s="78">
        <f t="shared" si="5"/>
        <v>278.49797999999998</v>
      </c>
      <c r="AA8" s="78">
        <f t="shared" si="9"/>
        <v>288.733045</v>
      </c>
      <c r="AD8" s="371" t="s">
        <v>1469</v>
      </c>
      <c r="AE8" s="372">
        <f t="shared" si="6"/>
        <v>4.9896409999999998</v>
      </c>
      <c r="AF8" s="372">
        <f t="shared" si="7"/>
        <v>4.7977040000000004</v>
      </c>
      <c r="AG8" s="78">
        <f t="shared" si="8"/>
        <v>4.6094340000000003</v>
      </c>
      <c r="AH8" s="78">
        <f t="shared" si="10"/>
        <v>4.7989263333333332</v>
      </c>
      <c r="AJ8" s="1" t="s">
        <v>1468</v>
      </c>
      <c r="AK8" s="104">
        <v>0.06</v>
      </c>
      <c r="AL8" s="105">
        <v>280</v>
      </c>
      <c r="AN8" s="371" t="s">
        <v>1469</v>
      </c>
      <c r="AO8" s="393">
        <v>4515.8023404216519</v>
      </c>
      <c r="AP8" s="372">
        <v>83.864900607830691</v>
      </c>
      <c r="AQ8" s="393">
        <v>4.7989263333333332</v>
      </c>
      <c r="AR8" s="78">
        <v>288.733045</v>
      </c>
    </row>
    <row r="9" spans="1:44" x14ac:dyDescent="0.3">
      <c r="B9" s="54" t="s">
        <v>1471</v>
      </c>
      <c r="C9" s="54" t="s">
        <v>24</v>
      </c>
      <c r="E9" s="1">
        <v>58060</v>
      </c>
      <c r="F9" s="309">
        <v>65632</v>
      </c>
      <c r="G9" s="309">
        <v>381059</v>
      </c>
      <c r="H9" s="368">
        <f t="shared" si="0"/>
        <v>3.3618567117698727E-4</v>
      </c>
      <c r="J9" s="1">
        <v>54115</v>
      </c>
      <c r="K9" s="309">
        <v>72273</v>
      </c>
      <c r="L9" s="309">
        <v>391104</v>
      </c>
      <c r="M9" s="368">
        <f t="shared" si="1"/>
        <v>3.489724556261345E-4</v>
      </c>
      <c r="O9" s="1">
        <v>55148</v>
      </c>
      <c r="P9" s="309">
        <v>70529</v>
      </c>
      <c r="Q9" s="309">
        <v>388951</v>
      </c>
      <c r="R9" s="368">
        <f t="shared" si="2"/>
        <v>3.3950025664521166E-4</v>
      </c>
      <c r="W9" s="371" t="s">
        <v>1470</v>
      </c>
      <c r="X9" s="372">
        <f t="shared" si="3"/>
        <v>1809.3763670000001</v>
      </c>
      <c r="Y9" s="372">
        <f t="shared" si="4"/>
        <v>1904.3488030000001</v>
      </c>
      <c r="Z9" s="78">
        <f t="shared" si="5"/>
        <v>1925.4840899999999</v>
      </c>
      <c r="AA9" s="78">
        <f t="shared" si="9"/>
        <v>1879.73642</v>
      </c>
      <c r="AD9" s="371" t="s">
        <v>1470</v>
      </c>
      <c r="AE9" s="372">
        <f t="shared" si="6"/>
        <v>25.895637000000001</v>
      </c>
      <c r="AF9" s="372">
        <f t="shared" si="7"/>
        <v>26.127794999999999</v>
      </c>
      <c r="AG9" s="78">
        <f t="shared" si="8"/>
        <v>26.449318000000002</v>
      </c>
      <c r="AH9" s="78">
        <f t="shared" si="10"/>
        <v>26.157583333333335</v>
      </c>
      <c r="AJ9" s="1" t="s">
        <v>1469</v>
      </c>
      <c r="AK9" s="104">
        <v>1.2999999999999999E-2</v>
      </c>
      <c r="AL9" s="105">
        <v>70</v>
      </c>
      <c r="AN9" s="371" t="s">
        <v>1470</v>
      </c>
      <c r="AO9" s="393">
        <v>2221.7372561830139</v>
      </c>
      <c r="AP9" s="372">
        <v>14.811581707886761</v>
      </c>
      <c r="AQ9" s="393">
        <v>26.157583333333335</v>
      </c>
      <c r="AR9" s="78">
        <v>1879.73642</v>
      </c>
    </row>
    <row r="10" spans="1:44" x14ac:dyDescent="0.3">
      <c r="B10" s="54" t="s">
        <v>1471</v>
      </c>
      <c r="C10" s="54" t="s">
        <v>25</v>
      </c>
      <c r="E10" s="1">
        <v>9948</v>
      </c>
      <c r="F10" s="309">
        <v>251110</v>
      </c>
      <c r="G10" s="309">
        <v>249804</v>
      </c>
      <c r="H10" s="368">
        <f t="shared" si="0"/>
        <v>6.7603495566522529E-4</v>
      </c>
      <c r="J10" s="1">
        <v>9726</v>
      </c>
      <c r="K10" s="309">
        <v>261714</v>
      </c>
      <c r="L10" s="309">
        <v>254543</v>
      </c>
      <c r="M10" s="368">
        <f t="shared" si="1"/>
        <v>6.9798601462448559E-4</v>
      </c>
      <c r="O10" s="1">
        <v>10164</v>
      </c>
      <c r="P10" s="309">
        <v>256455</v>
      </c>
      <c r="Q10" s="309">
        <v>260661</v>
      </c>
      <c r="R10" s="368">
        <f t="shared" si="2"/>
        <v>7.0483819267774567E-4</v>
      </c>
      <c r="W10" s="371" t="s">
        <v>26</v>
      </c>
      <c r="X10" s="372">
        <f t="shared" si="3"/>
        <v>771.96781799999997</v>
      </c>
      <c r="Y10" s="372">
        <f t="shared" si="4"/>
        <v>733.13450399999999</v>
      </c>
      <c r="Z10" s="78">
        <f t="shared" si="5"/>
        <v>765.437453</v>
      </c>
      <c r="AA10" s="78">
        <f t="shared" si="9"/>
        <v>756.84659166666677</v>
      </c>
      <c r="AD10" s="371" t="s">
        <v>26</v>
      </c>
      <c r="AE10" s="372">
        <f t="shared" si="6"/>
        <v>218.18965499999999</v>
      </c>
      <c r="AF10" s="372">
        <f t="shared" si="7"/>
        <v>213.86848000000001</v>
      </c>
      <c r="AG10" s="78">
        <f t="shared" si="8"/>
        <v>215.771444</v>
      </c>
      <c r="AH10" s="78">
        <f t="shared" si="10"/>
        <v>215.94319299999998</v>
      </c>
      <c r="AJ10" s="1" t="s">
        <v>1470</v>
      </c>
      <c r="AK10" s="104">
        <v>2E-3</v>
      </c>
      <c r="AL10" s="105">
        <v>30</v>
      </c>
      <c r="AN10" s="371" t="s">
        <v>26</v>
      </c>
      <c r="AO10" s="393">
        <v>1387.0385780199529</v>
      </c>
      <c r="AP10" s="372">
        <v>50.664283388752757</v>
      </c>
      <c r="AQ10" s="393">
        <v>215.94319299999998</v>
      </c>
      <c r="AR10" s="78">
        <v>756.84659166666677</v>
      </c>
    </row>
    <row r="11" spans="1:44" x14ac:dyDescent="0.3">
      <c r="B11" s="54" t="s">
        <v>1471</v>
      </c>
      <c r="C11" s="54" t="s">
        <v>1468</v>
      </c>
      <c r="E11" s="1">
        <v>0</v>
      </c>
      <c r="F11" s="309"/>
      <c r="G11" s="309">
        <v>0</v>
      </c>
      <c r="H11" s="368">
        <f t="shared" si="0"/>
        <v>0</v>
      </c>
      <c r="J11" s="1">
        <v>0</v>
      </c>
      <c r="K11" s="309"/>
      <c r="L11" s="309">
        <v>0</v>
      </c>
      <c r="M11" s="368">
        <f t="shared" si="1"/>
        <v>0</v>
      </c>
      <c r="O11" s="1">
        <v>0</v>
      </c>
      <c r="P11" s="309"/>
      <c r="Q11" s="309">
        <v>0</v>
      </c>
      <c r="R11" s="368">
        <f t="shared" si="2"/>
        <v>0</v>
      </c>
      <c r="W11" s="371" t="s">
        <v>27</v>
      </c>
      <c r="X11" s="372">
        <f t="shared" si="3"/>
        <v>359.042619</v>
      </c>
      <c r="Y11" s="372">
        <f t="shared" si="4"/>
        <v>344.188447</v>
      </c>
      <c r="Z11" s="78">
        <f t="shared" si="5"/>
        <v>333.27430199999998</v>
      </c>
      <c r="AA11" s="78">
        <f t="shared" si="9"/>
        <v>345.50178933333336</v>
      </c>
      <c r="AD11" s="371" t="s">
        <v>27</v>
      </c>
      <c r="AE11" s="372">
        <f t="shared" si="6"/>
        <v>125.53745000000001</v>
      </c>
      <c r="AF11" s="372">
        <f t="shared" si="7"/>
        <v>123.741479</v>
      </c>
      <c r="AG11" s="78">
        <f t="shared" si="8"/>
        <v>120.22568</v>
      </c>
      <c r="AH11" s="78">
        <f t="shared" si="10"/>
        <v>123.16820300000001</v>
      </c>
      <c r="AJ11" s="1" t="s">
        <v>26</v>
      </c>
      <c r="AK11" s="104">
        <v>0.122</v>
      </c>
      <c r="AL11" s="105">
        <v>334</v>
      </c>
      <c r="AN11" s="371" t="s">
        <v>27</v>
      </c>
      <c r="AO11" s="393">
        <v>1012.8116679016489</v>
      </c>
      <c r="AP11" s="372">
        <v>114.8860996425751</v>
      </c>
      <c r="AQ11" s="393">
        <v>123.16820300000001</v>
      </c>
      <c r="AR11" s="78">
        <v>345.50178933333336</v>
      </c>
    </row>
    <row r="12" spans="1:44" x14ac:dyDescent="0.3">
      <c r="B12" s="54" t="s">
        <v>1471</v>
      </c>
      <c r="C12" s="54" t="s">
        <v>27</v>
      </c>
      <c r="E12" s="1">
        <v>227</v>
      </c>
      <c r="F12" s="309">
        <v>22026</v>
      </c>
      <c r="G12" s="309">
        <v>500</v>
      </c>
      <c r="H12" s="368">
        <f t="shared" si="0"/>
        <v>1.3925923373458904E-6</v>
      </c>
      <c r="J12" s="1">
        <v>253</v>
      </c>
      <c r="K12" s="309">
        <v>29407</v>
      </c>
      <c r="L12" s="309">
        <v>744</v>
      </c>
      <c r="M12" s="368">
        <f t="shared" si="1"/>
        <v>2.1616065457304555E-6</v>
      </c>
      <c r="O12" s="1">
        <v>219</v>
      </c>
      <c r="P12" s="309">
        <v>27626</v>
      </c>
      <c r="Q12" s="309">
        <v>605</v>
      </c>
      <c r="R12" s="368">
        <f t="shared" si="2"/>
        <v>1.8153214825426294E-6</v>
      </c>
      <c r="W12" s="371" t="s">
        <v>28</v>
      </c>
      <c r="X12" s="372">
        <f t="shared" si="3"/>
        <v>282.77216199999998</v>
      </c>
      <c r="Y12" s="372">
        <f t="shared" si="4"/>
        <v>290.70003500000001</v>
      </c>
      <c r="Z12" s="78">
        <f t="shared" si="5"/>
        <v>299.278389</v>
      </c>
      <c r="AA12" s="78">
        <f t="shared" si="9"/>
        <v>290.91686200000004</v>
      </c>
      <c r="AD12" s="371" t="s">
        <v>28</v>
      </c>
      <c r="AE12" s="372">
        <f t="shared" si="6"/>
        <v>26.326844999999999</v>
      </c>
      <c r="AF12" s="372">
        <f t="shared" si="7"/>
        <v>26.580680999999998</v>
      </c>
      <c r="AG12" s="78">
        <f t="shared" si="8"/>
        <v>27.340184000000001</v>
      </c>
      <c r="AH12" s="78">
        <f t="shared" si="10"/>
        <v>26.749236666666665</v>
      </c>
      <c r="AJ12" s="1" t="s">
        <v>28</v>
      </c>
      <c r="AK12" s="104">
        <v>8.9999999999999993E-3</v>
      </c>
      <c r="AL12" s="105">
        <v>109</v>
      </c>
      <c r="AN12" s="371" t="s">
        <v>28</v>
      </c>
      <c r="AO12" s="393">
        <v>1559.3986569206111</v>
      </c>
      <c r="AP12" s="372">
        <v>12.875768726867433</v>
      </c>
      <c r="AQ12" s="393">
        <v>26.749236666666665</v>
      </c>
      <c r="AR12" s="78">
        <v>290.91686200000004</v>
      </c>
    </row>
    <row r="13" spans="1:44" x14ac:dyDescent="0.3">
      <c r="B13" s="54" t="s">
        <v>1471</v>
      </c>
      <c r="C13" s="54" t="s">
        <v>1469</v>
      </c>
      <c r="E13" s="1">
        <v>959</v>
      </c>
      <c r="F13" s="309">
        <v>341721</v>
      </c>
      <c r="G13" s="309">
        <v>32771</v>
      </c>
      <c r="H13" s="368">
        <f t="shared" si="0"/>
        <v>1.0436976468396853E-4</v>
      </c>
      <c r="J13" s="1">
        <v>702</v>
      </c>
      <c r="K13" s="309">
        <v>391524</v>
      </c>
      <c r="L13" s="309">
        <v>27485</v>
      </c>
      <c r="M13" s="368">
        <f t="shared" si="1"/>
        <v>1.0041585609222999E-4</v>
      </c>
      <c r="O13" s="1">
        <v>805</v>
      </c>
      <c r="P13" s="309">
        <v>381429</v>
      </c>
      <c r="Q13" s="309">
        <v>30705</v>
      </c>
      <c r="R13" s="368">
        <f t="shared" si="2"/>
        <v>1.1025214617355572E-4</v>
      </c>
      <c r="W13" s="77" t="s">
        <v>1472</v>
      </c>
      <c r="X13" s="373">
        <f t="shared" si="3"/>
        <v>400.29518100000001</v>
      </c>
      <c r="Y13" s="373">
        <f t="shared" si="4"/>
        <v>403.583324</v>
      </c>
      <c r="Z13" s="374">
        <f t="shared" si="5"/>
        <v>410.69669199999998</v>
      </c>
      <c r="AA13" s="374">
        <f t="shared" si="9"/>
        <v>404.85839900000002</v>
      </c>
      <c r="AD13" s="77" t="s">
        <v>1472</v>
      </c>
      <c r="AE13" s="373">
        <f t="shared" si="6"/>
        <v>26.967158000000001</v>
      </c>
      <c r="AF13" s="373">
        <f t="shared" si="7"/>
        <v>27.680267000000001</v>
      </c>
      <c r="AG13" s="374">
        <f t="shared" si="8"/>
        <v>28.312612000000001</v>
      </c>
      <c r="AH13" s="374">
        <f t="shared" si="10"/>
        <v>27.653345666666667</v>
      </c>
      <c r="AJ13" s="2" t="s">
        <v>1472</v>
      </c>
      <c r="AK13" s="106">
        <v>3.0000000000000001E-3</v>
      </c>
      <c r="AL13" s="107">
        <v>158</v>
      </c>
      <c r="AN13" s="77" t="s">
        <v>1472</v>
      </c>
      <c r="AO13" s="394">
        <v>2650.7323815976947</v>
      </c>
      <c r="AP13" s="373">
        <v>5.0330361675905602</v>
      </c>
      <c r="AQ13" s="394">
        <v>27.653345666666667</v>
      </c>
      <c r="AR13" s="374">
        <v>404.85839900000002</v>
      </c>
    </row>
    <row r="14" spans="1:44" x14ac:dyDescent="0.3">
      <c r="B14" s="54" t="s">
        <v>1471</v>
      </c>
      <c r="C14" s="54" t="s">
        <v>26</v>
      </c>
      <c r="E14" s="1">
        <v>68095</v>
      </c>
      <c r="F14" s="309">
        <v>40367</v>
      </c>
      <c r="G14" s="309">
        <v>274877</v>
      </c>
      <c r="H14" s="368">
        <f t="shared" si="0"/>
        <v>3.5607313360827174E-4</v>
      </c>
      <c r="J14" s="1">
        <v>65072</v>
      </c>
      <c r="K14" s="309">
        <v>36927</v>
      </c>
      <c r="L14" s="309">
        <v>240294</v>
      </c>
      <c r="M14" s="368">
        <f t="shared" si="1"/>
        <v>3.2776250290901602E-4</v>
      </c>
      <c r="O14" s="1">
        <v>57330</v>
      </c>
      <c r="P14" s="309">
        <v>40680</v>
      </c>
      <c r="Q14" s="309">
        <v>233218</v>
      </c>
      <c r="R14" s="368">
        <f t="shared" si="2"/>
        <v>3.0468590096544441E-4</v>
      </c>
      <c r="AJ14" s="3"/>
      <c r="AK14" s="3"/>
      <c r="AL14" s="3"/>
      <c r="AM14" s="3"/>
      <c r="AN14" s="3"/>
      <c r="AO14" s="3"/>
      <c r="AP14" s="3"/>
    </row>
    <row r="15" spans="1:44" x14ac:dyDescent="0.3">
      <c r="B15" s="54" t="s">
        <v>1473</v>
      </c>
      <c r="C15" s="54" t="s">
        <v>24</v>
      </c>
      <c r="E15" s="1">
        <v>2025</v>
      </c>
      <c r="F15" s="309">
        <v>13007</v>
      </c>
      <c r="G15" s="309">
        <v>2634</v>
      </c>
      <c r="H15" s="368">
        <f t="shared" si="0"/>
        <v>2.3238213974218805E-6</v>
      </c>
      <c r="J15" s="1">
        <v>2250</v>
      </c>
      <c r="K15" s="309">
        <v>18409</v>
      </c>
      <c r="L15" s="309">
        <v>4142</v>
      </c>
      <c r="M15" s="368">
        <f t="shared" si="1"/>
        <v>3.6958044694082621E-6</v>
      </c>
      <c r="O15" s="1">
        <v>1533</v>
      </c>
      <c r="P15" s="309">
        <v>41539</v>
      </c>
      <c r="Q15" s="309">
        <v>6368</v>
      </c>
      <c r="R15" s="368">
        <f t="shared" si="2"/>
        <v>5.5583804497654143E-6</v>
      </c>
      <c r="AJ15" s="3"/>
      <c r="AK15" s="3"/>
      <c r="AL15" s="3"/>
      <c r="AM15" s="3"/>
      <c r="AN15" s="3"/>
      <c r="AO15" s="3"/>
      <c r="AP15" s="3"/>
    </row>
    <row r="16" spans="1:44" x14ac:dyDescent="0.3">
      <c r="B16" s="54" t="s">
        <v>1473</v>
      </c>
      <c r="C16" s="54" t="s">
        <v>25</v>
      </c>
      <c r="E16" s="1">
        <v>148822</v>
      </c>
      <c r="F16" s="309">
        <v>309524</v>
      </c>
      <c r="G16" s="309">
        <v>4606402</v>
      </c>
      <c r="H16" s="368">
        <f t="shared" si="0"/>
        <v>1.2466128532154029E-2</v>
      </c>
      <c r="J16" s="1">
        <v>149665</v>
      </c>
      <c r="K16" s="309">
        <v>310916</v>
      </c>
      <c r="L16" s="309">
        <v>4653322</v>
      </c>
      <c r="M16" s="368">
        <f t="shared" si="1"/>
        <v>1.2759941061213392E-2</v>
      </c>
      <c r="O16" s="1">
        <v>157864</v>
      </c>
      <c r="P16" s="309">
        <v>318011</v>
      </c>
      <c r="Q16" s="309">
        <v>5020249</v>
      </c>
      <c r="R16" s="368">
        <f t="shared" si="2"/>
        <v>1.3574962238126379E-2</v>
      </c>
      <c r="AJ16" s="3"/>
      <c r="AK16" s="3"/>
      <c r="AL16" s="3"/>
      <c r="AM16" s="3"/>
      <c r="AN16" s="3"/>
      <c r="AO16" s="3"/>
      <c r="AP16" s="3"/>
    </row>
    <row r="17" spans="2:42" x14ac:dyDescent="0.3">
      <c r="B17" s="54" t="s">
        <v>1473</v>
      </c>
      <c r="C17" s="54" t="s">
        <v>1468</v>
      </c>
      <c r="E17" s="1">
        <v>130</v>
      </c>
      <c r="F17" s="309">
        <v>19000</v>
      </c>
      <c r="G17" s="309">
        <v>247</v>
      </c>
      <c r="H17" s="368">
        <f t="shared" si="0"/>
        <v>3.4841347638387585E-7</v>
      </c>
      <c r="J17" s="1">
        <v>122</v>
      </c>
      <c r="K17" s="309">
        <v>19508</v>
      </c>
      <c r="L17" s="309">
        <v>238</v>
      </c>
      <c r="M17" s="368">
        <f t="shared" si="1"/>
        <v>3.3113134375254433E-7</v>
      </c>
      <c r="O17" s="1">
        <v>115</v>
      </c>
      <c r="P17" s="309">
        <v>19913</v>
      </c>
      <c r="Q17" s="309">
        <v>229</v>
      </c>
      <c r="R17" s="368">
        <f t="shared" si="2"/>
        <v>3.21631855200968E-7</v>
      </c>
    </row>
    <row r="18" spans="2:42" ht="15" thickBot="1" x14ac:dyDescent="0.35">
      <c r="B18" s="54" t="s">
        <v>1473</v>
      </c>
      <c r="C18" s="54" t="s">
        <v>1469</v>
      </c>
      <c r="E18" s="1">
        <v>0</v>
      </c>
      <c r="F18" s="309"/>
      <c r="G18" s="309">
        <v>0</v>
      </c>
      <c r="H18" s="368">
        <f t="shared" si="0"/>
        <v>0</v>
      </c>
      <c r="J18" s="1">
        <v>0</v>
      </c>
      <c r="K18" s="309"/>
      <c r="L18" s="309">
        <v>0</v>
      </c>
      <c r="M18" s="368">
        <f t="shared" si="1"/>
        <v>0</v>
      </c>
      <c r="O18" s="1">
        <v>0</v>
      </c>
      <c r="P18" s="309"/>
      <c r="Q18" s="309">
        <v>0</v>
      </c>
      <c r="R18" s="368">
        <f t="shared" si="2"/>
        <v>0</v>
      </c>
    </row>
    <row r="19" spans="2:42" x14ac:dyDescent="0.3">
      <c r="B19" s="54" t="s">
        <v>1473</v>
      </c>
      <c r="C19" s="54" t="s">
        <v>26</v>
      </c>
      <c r="E19" s="1">
        <v>2118469</v>
      </c>
      <c r="F19" s="309">
        <v>11501</v>
      </c>
      <c r="G19" s="309">
        <v>2436503</v>
      </c>
      <c r="H19" s="368">
        <f t="shared" si="0"/>
        <v>3.1562235409144995E-3</v>
      </c>
      <c r="J19" s="1">
        <v>2087003</v>
      </c>
      <c r="K19" s="309">
        <v>19076</v>
      </c>
      <c r="L19" s="309">
        <v>3981219</v>
      </c>
      <c r="M19" s="368">
        <f t="shared" si="1"/>
        <v>5.4304073512818872E-3</v>
      </c>
      <c r="O19" s="1">
        <v>1974987</v>
      </c>
      <c r="P19" s="309">
        <v>19630</v>
      </c>
      <c r="Q19" s="309">
        <v>3876876</v>
      </c>
      <c r="R19" s="368">
        <f t="shared" si="2"/>
        <v>5.0649154738969899E-3</v>
      </c>
      <c r="AC19" s="626" t="s">
        <v>1853</v>
      </c>
      <c r="AD19" s="627"/>
      <c r="AE19" s="627"/>
      <c r="AF19" s="627"/>
      <c r="AG19" s="627"/>
      <c r="AH19" s="627"/>
      <c r="AI19" s="628"/>
      <c r="AJ19" s="632" t="s">
        <v>1930</v>
      </c>
      <c r="AK19" s="633"/>
      <c r="AL19" s="633"/>
      <c r="AM19" s="633"/>
      <c r="AN19" s="633"/>
      <c r="AO19" s="633"/>
      <c r="AP19" s="634"/>
    </row>
    <row r="20" spans="2:42" ht="15" thickBot="1" x14ac:dyDescent="0.35">
      <c r="B20" s="54" t="s">
        <v>1477</v>
      </c>
      <c r="C20" s="54" t="s">
        <v>28</v>
      </c>
      <c r="E20" s="1">
        <v>1010506</v>
      </c>
      <c r="F20" s="309">
        <v>82402</v>
      </c>
      <c r="G20" s="309">
        <v>8326745</v>
      </c>
      <c r="H20" s="368">
        <f t="shared" si="0"/>
        <v>2.9446834303300338E-2</v>
      </c>
      <c r="J20" s="1">
        <v>944152</v>
      </c>
      <c r="K20" s="309">
        <v>92469</v>
      </c>
      <c r="L20" s="309">
        <v>8730517</v>
      </c>
      <c r="M20" s="368">
        <f t="shared" si="1"/>
        <v>3.0032734602181938E-2</v>
      </c>
      <c r="O20" s="1">
        <v>945328</v>
      </c>
      <c r="P20" s="309">
        <v>95210</v>
      </c>
      <c r="Q20" s="309">
        <v>9000432</v>
      </c>
      <c r="R20" s="368">
        <f t="shared" si="2"/>
        <v>3.0073778564746283E-2</v>
      </c>
      <c r="AC20" s="629"/>
      <c r="AD20" s="630"/>
      <c r="AE20" s="630"/>
      <c r="AF20" s="630"/>
      <c r="AG20" s="630"/>
      <c r="AH20" s="630"/>
      <c r="AI20" s="631"/>
      <c r="AJ20" s="635"/>
      <c r="AK20" s="636"/>
      <c r="AL20" s="636"/>
      <c r="AM20" s="636"/>
      <c r="AN20" s="636"/>
      <c r="AO20" s="636"/>
      <c r="AP20" s="637"/>
    </row>
    <row r="21" spans="2:42" x14ac:dyDescent="0.3">
      <c r="B21" s="54" t="s">
        <v>1477</v>
      </c>
      <c r="C21" s="54" t="s">
        <v>24</v>
      </c>
      <c r="E21" s="1">
        <v>2664361</v>
      </c>
      <c r="F21" s="309">
        <v>8935</v>
      </c>
      <c r="G21" s="309">
        <v>2380522</v>
      </c>
      <c r="H21" s="368">
        <f t="shared" si="0"/>
        <v>2.1001928476209303E-3</v>
      </c>
      <c r="J21" s="1">
        <v>2639535</v>
      </c>
      <c r="K21" s="309">
        <v>10477</v>
      </c>
      <c r="L21" s="309">
        <v>2765316</v>
      </c>
      <c r="M21" s="368">
        <f t="shared" si="1"/>
        <v>2.4674232815369815E-3</v>
      </c>
      <c r="O21" s="1">
        <v>2642691</v>
      </c>
      <c r="P21" s="309">
        <v>10666</v>
      </c>
      <c r="Q21" s="309">
        <v>2818684</v>
      </c>
      <c r="R21" s="368">
        <f t="shared" si="2"/>
        <v>2.4603200439174901E-3</v>
      </c>
      <c r="U21" s="638" t="s">
        <v>1875</v>
      </c>
      <c r="V21" s="375"/>
      <c r="W21" s="375"/>
      <c r="X21" s="375"/>
      <c r="Y21" s="375"/>
      <c r="Z21" s="375"/>
      <c r="AA21" s="375"/>
      <c r="AB21" s="375"/>
      <c r="AC21" s="376"/>
      <c r="AD21" s="375"/>
      <c r="AE21" s="375"/>
      <c r="AF21" s="375"/>
      <c r="AG21" s="375"/>
      <c r="AH21" s="375"/>
      <c r="AI21" s="377"/>
      <c r="AJ21" s="376"/>
      <c r="AK21" s="375"/>
      <c r="AL21" s="375"/>
      <c r="AM21" s="375"/>
      <c r="AN21" s="375"/>
      <c r="AO21" s="375"/>
      <c r="AP21" s="377"/>
    </row>
    <row r="22" spans="2:42" x14ac:dyDescent="0.3">
      <c r="B22" s="54" t="s">
        <v>1477</v>
      </c>
      <c r="C22" s="54" t="s">
        <v>1472</v>
      </c>
      <c r="E22" s="1">
        <v>23260</v>
      </c>
      <c r="F22" s="309">
        <v>120546</v>
      </c>
      <c r="G22" s="309">
        <v>280390</v>
      </c>
      <c r="H22" s="368">
        <f t="shared" si="0"/>
        <v>7.0045809519750379E-4</v>
      </c>
      <c r="J22" s="1">
        <v>23279</v>
      </c>
      <c r="K22" s="309">
        <v>120495</v>
      </c>
      <c r="L22" s="309">
        <v>280500</v>
      </c>
      <c r="M22" s="368">
        <f t="shared" si="1"/>
        <v>6.9502376168545561E-4</v>
      </c>
      <c r="O22" s="1">
        <v>23310</v>
      </c>
      <c r="P22" s="309">
        <v>120441</v>
      </c>
      <c r="Q22" s="309">
        <v>280747</v>
      </c>
      <c r="R22" s="368">
        <f t="shared" si="2"/>
        <v>6.8358719577902031E-4</v>
      </c>
      <c r="U22" s="639"/>
      <c r="V22" s="309"/>
      <c r="W22" s="623" t="s">
        <v>1942</v>
      </c>
      <c r="X22" s="624"/>
      <c r="Y22" s="624"/>
      <c r="Z22" s="624"/>
      <c r="AA22" s="625"/>
      <c r="AB22" s="309"/>
      <c r="AC22" s="378"/>
      <c r="AD22" s="623" t="s">
        <v>1943</v>
      </c>
      <c r="AE22" s="624"/>
      <c r="AF22" s="624"/>
      <c r="AG22" s="624"/>
      <c r="AH22" s="625"/>
      <c r="AI22" s="379"/>
      <c r="AJ22" s="378"/>
      <c r="AK22" s="623" t="s">
        <v>1945</v>
      </c>
      <c r="AL22" s="624"/>
      <c r="AM22" s="624"/>
      <c r="AN22" s="624"/>
      <c r="AO22" s="625"/>
      <c r="AP22" s="380"/>
    </row>
    <row r="23" spans="2:42" ht="13.5" customHeight="1" x14ac:dyDescent="0.3">
      <c r="B23" s="54" t="s">
        <v>1477</v>
      </c>
      <c r="C23" s="54" t="s">
        <v>25</v>
      </c>
      <c r="E23" s="1">
        <v>63983</v>
      </c>
      <c r="F23" s="309">
        <v>72079</v>
      </c>
      <c r="G23" s="309">
        <v>461186</v>
      </c>
      <c r="H23" s="368">
        <f t="shared" si="0"/>
        <v>1.2480899307594057E-3</v>
      </c>
      <c r="J23" s="1">
        <v>63845</v>
      </c>
      <c r="K23" s="309">
        <v>71770</v>
      </c>
      <c r="L23" s="309">
        <v>458217</v>
      </c>
      <c r="M23" s="368">
        <f t="shared" si="1"/>
        <v>1.2564834140525881E-3</v>
      </c>
      <c r="O23" s="1">
        <v>63963</v>
      </c>
      <c r="P23" s="309">
        <v>71174</v>
      </c>
      <c r="Q23" s="309">
        <v>455249</v>
      </c>
      <c r="R23" s="368">
        <f t="shared" si="2"/>
        <v>1.2310122434056152E-3</v>
      </c>
      <c r="U23" s="639"/>
      <c r="V23" s="309"/>
      <c r="W23" s="369"/>
      <c r="X23" s="364">
        <v>2017</v>
      </c>
      <c r="Y23" s="364">
        <v>2018</v>
      </c>
      <c r="Z23" s="364">
        <v>2019</v>
      </c>
      <c r="AA23" s="370" t="s">
        <v>1852</v>
      </c>
      <c r="AB23" s="309"/>
      <c r="AC23" s="378"/>
      <c r="AD23" s="369"/>
      <c r="AE23" s="364">
        <v>2017</v>
      </c>
      <c r="AF23" s="364">
        <v>2018</v>
      </c>
      <c r="AG23" s="364">
        <v>2019</v>
      </c>
      <c r="AH23" s="370" t="s">
        <v>1852</v>
      </c>
      <c r="AI23" s="379"/>
      <c r="AJ23" s="378"/>
      <c r="AK23" s="369"/>
      <c r="AL23" s="364">
        <v>2017</v>
      </c>
      <c r="AM23" s="364">
        <v>2018</v>
      </c>
      <c r="AN23" s="364">
        <v>2019</v>
      </c>
      <c r="AO23" s="370" t="s">
        <v>1852</v>
      </c>
      <c r="AP23" s="380"/>
    </row>
    <row r="24" spans="2:42" x14ac:dyDescent="0.3">
      <c r="B24" s="54" t="s">
        <v>1477</v>
      </c>
      <c r="C24" s="54" t="s">
        <v>1468</v>
      </c>
      <c r="E24" s="1">
        <v>10912</v>
      </c>
      <c r="F24" s="309">
        <v>8638</v>
      </c>
      <c r="G24" s="309">
        <v>9426</v>
      </c>
      <c r="H24" s="368">
        <f t="shared" si="0"/>
        <v>1.3296135337629205E-5</v>
      </c>
      <c r="J24" s="1">
        <v>8417</v>
      </c>
      <c r="K24" s="309">
        <v>11523</v>
      </c>
      <c r="L24" s="309">
        <v>9699</v>
      </c>
      <c r="M24" s="368">
        <f t="shared" si="1"/>
        <v>1.3494297911999694E-5</v>
      </c>
      <c r="O24" s="1">
        <v>8467</v>
      </c>
      <c r="P24" s="309">
        <v>11931</v>
      </c>
      <c r="Q24" s="309">
        <v>10102</v>
      </c>
      <c r="R24" s="368">
        <f t="shared" si="2"/>
        <v>1.4188318782708203E-5</v>
      </c>
      <c r="U24" s="639"/>
      <c r="V24" s="309"/>
      <c r="W24" s="371" t="s">
        <v>24</v>
      </c>
      <c r="X24" s="372">
        <f t="shared" ref="X24:X32" si="11">AVERAGEIFS($F$3:$F$1002,$C$3:$C$1002,$W24,$F$3:$F$1002,"&gt;0")*100/10^4</f>
        <v>492.82062500000001</v>
      </c>
      <c r="Y24" s="372">
        <f t="shared" ref="Y24:Y32" si="12">AVERAGEIFS($K$3:$K$1002,$C$3:$C$1002,$W24,$K$3:$K$1002,"&gt;0")*100/10^4</f>
        <v>499.58416149068324</v>
      </c>
      <c r="Z24" s="78">
        <f t="shared" ref="Z24:Z32" si="13">AVERAGEIFS($P$3:$P$1002,$C$3:$C$1002,$W24,$P$3:$P$1002,"&gt;0")*100/10^4</f>
        <v>511.46372670807455</v>
      </c>
      <c r="AA24" s="78">
        <f>AVERAGE(X24:Z24)</f>
        <v>501.28950439958589</v>
      </c>
      <c r="AB24" s="309"/>
      <c r="AC24" s="378"/>
      <c r="AD24" s="371" t="s">
        <v>24</v>
      </c>
      <c r="AE24" s="372">
        <f t="shared" ref="AE24:AE32" si="14">AVERAGEIFS($F$3:$F$1002,$C$3:$C$1002,$AD24,$F$3:$F$1002,"&gt;0")*100/10^4*VLOOKUP($AD24,$AJ$5:$AL$13,3,FALSE)/100</f>
        <v>1754.4414250000002</v>
      </c>
      <c r="AF24" s="372">
        <f t="shared" ref="AF24:AF32" si="15">AVERAGEIFS($K$3:$K$1002,$C$3:$C$1002,$AD24,$K$3:$K$1002,"&gt;0")*100/10^4*VLOOKUP($AD24,$AJ$5:$AL$13,3,FALSE)/100</f>
        <v>1778.5196149068322</v>
      </c>
      <c r="AG24" s="78">
        <f t="shared" ref="AG24:AG32" si="16">AVERAGEIFS($P$3:$P$1002,$C$3:$C$1002,$AD24,$P$3:$P$1002,"&gt;0")*100/10^4*VLOOKUP($AD24,$AJ$5:$AL$13,3,FALSE)/100</f>
        <v>1820.8108670807455</v>
      </c>
      <c r="AH24" s="78">
        <f>AVERAGE(AE24:AG24)</f>
        <v>1784.5906356625262</v>
      </c>
      <c r="AI24" s="379"/>
      <c r="AJ24" s="378"/>
      <c r="AK24" s="371" t="s">
        <v>24</v>
      </c>
      <c r="AL24" s="372">
        <f t="shared" ref="AL24:AL32" si="17">AVERAGEIFS($F$3:$F$1002,$C$3:$C$1002,$AD24,$F$3:$F$1002,"&gt;0")*100/10^4*VLOOKUP($AD24,$AJ$5:$AL$13,2,FALSE)</f>
        <v>46.817959375000001</v>
      </c>
      <c r="AM24" s="372">
        <f t="shared" ref="AM24:AM32" si="18">AVERAGEIFS($K$3:$K$1002,$C$3:$C$1002,$AD24,$K$3:$K$1002,"&gt;0")*100/10^4*VLOOKUP($AD24,$AJ$5:$AL$13,2,FALSE)</f>
        <v>47.460495341614909</v>
      </c>
      <c r="AN24" s="78">
        <f t="shared" ref="AN24:AN32" si="19">AVERAGEIFS($P$3:$P$1002,$C$3:$C$1002,$AD24,$P$3:$P$1002,"&gt;0")*100/10^4*VLOOKUP($AD24,$AJ$5:$AL$13,2,FALSE)</f>
        <v>48.589054037267083</v>
      </c>
      <c r="AO24" s="78">
        <f>AVERAGE(AL24:AN24)</f>
        <v>47.622502917960666</v>
      </c>
      <c r="AP24" s="380"/>
    </row>
    <row r="25" spans="2:42" x14ac:dyDescent="0.3">
      <c r="B25" s="54" t="s">
        <v>1477</v>
      </c>
      <c r="C25" s="54" t="s">
        <v>27</v>
      </c>
      <c r="E25" s="1">
        <v>39593</v>
      </c>
      <c r="F25" s="309">
        <v>9093</v>
      </c>
      <c r="G25" s="309">
        <v>36001</v>
      </c>
      <c r="H25" s="368">
        <f t="shared" si="0"/>
        <v>1.0026943347357881E-4</v>
      </c>
      <c r="J25" s="1">
        <v>35879</v>
      </c>
      <c r="K25" s="309">
        <v>9829</v>
      </c>
      <c r="L25" s="309">
        <v>35266</v>
      </c>
      <c r="M25" s="368">
        <f t="shared" si="1"/>
        <v>1.0246131242168044E-4</v>
      </c>
      <c r="O25" s="1">
        <v>36252</v>
      </c>
      <c r="P25" s="309">
        <v>10303</v>
      </c>
      <c r="Q25" s="309">
        <v>37350</v>
      </c>
      <c r="R25" s="368">
        <f t="shared" si="2"/>
        <v>1.1206984689746646E-4</v>
      </c>
      <c r="U25" s="639"/>
      <c r="V25" s="309"/>
      <c r="W25" s="371" t="s">
        <v>25</v>
      </c>
      <c r="X25" s="372">
        <f t="shared" si="11"/>
        <v>2116.0889333333334</v>
      </c>
      <c r="Y25" s="372">
        <f t="shared" si="12"/>
        <v>2077.0790666666667</v>
      </c>
      <c r="Z25" s="78">
        <f t="shared" si="13"/>
        <v>2121.6170000000002</v>
      </c>
      <c r="AA25" s="78">
        <f t="shared" ref="AA25:AA32" si="20">AVERAGE(X25:Z25)</f>
        <v>2104.9283333333333</v>
      </c>
      <c r="AB25" s="309"/>
      <c r="AC25" s="378"/>
      <c r="AD25" s="371" t="s">
        <v>25</v>
      </c>
      <c r="AE25" s="372">
        <f t="shared" si="14"/>
        <v>1417.7795853333334</v>
      </c>
      <c r="AF25" s="372">
        <f t="shared" si="15"/>
        <v>1391.6429746666668</v>
      </c>
      <c r="AG25" s="78">
        <f t="shared" si="16"/>
        <v>1421.4833900000001</v>
      </c>
      <c r="AH25" s="78">
        <f t="shared" ref="AH25:AH32" si="21">AVERAGE(AE25:AG25)</f>
        <v>1410.3019833333335</v>
      </c>
      <c r="AI25" s="379"/>
      <c r="AJ25" s="378"/>
      <c r="AK25" s="371" t="s">
        <v>25</v>
      </c>
      <c r="AL25" s="372">
        <f t="shared" si="17"/>
        <v>33.857422933333339</v>
      </c>
      <c r="AM25" s="372">
        <f t="shared" si="18"/>
        <v>33.233265066666668</v>
      </c>
      <c r="AN25" s="78">
        <f t="shared" si="19"/>
        <v>33.945872000000001</v>
      </c>
      <c r="AO25" s="78">
        <f t="shared" ref="AO25:AO32" si="22">AVERAGE(AL25:AN25)</f>
        <v>33.678853333333336</v>
      </c>
      <c r="AP25" s="380"/>
    </row>
    <row r="26" spans="2:42" x14ac:dyDescent="0.3">
      <c r="B26" s="54" t="s">
        <v>1477</v>
      </c>
      <c r="C26" s="54" t="s">
        <v>1470</v>
      </c>
      <c r="E26" s="1">
        <v>14798</v>
      </c>
      <c r="F26" s="309">
        <v>390013</v>
      </c>
      <c r="G26" s="309">
        <v>577141</v>
      </c>
      <c r="H26" s="368">
        <f t="shared" si="0"/>
        <v>3.1897233241579085E-4</v>
      </c>
      <c r="J26" s="1">
        <v>16395</v>
      </c>
      <c r="K26" s="309">
        <v>390010</v>
      </c>
      <c r="L26" s="309">
        <v>639421</v>
      </c>
      <c r="M26" s="368">
        <f t="shared" si="1"/>
        <v>3.3576884601848857E-4</v>
      </c>
      <c r="O26" s="1">
        <v>16850</v>
      </c>
      <c r="P26" s="309">
        <v>390367</v>
      </c>
      <c r="Q26" s="309">
        <v>657768</v>
      </c>
      <c r="R26" s="368">
        <f t="shared" si="2"/>
        <v>3.4161175541055759E-4</v>
      </c>
      <c r="U26" s="639"/>
      <c r="V26" s="309"/>
      <c r="W26" s="371" t="s">
        <v>1468</v>
      </c>
      <c r="X26" s="372">
        <f t="shared" si="11"/>
        <v>392.01857142857148</v>
      </c>
      <c r="Y26" s="372">
        <f t="shared" si="12"/>
        <v>398.4530630630631</v>
      </c>
      <c r="Z26" s="78">
        <f t="shared" si="13"/>
        <v>405.48473214285718</v>
      </c>
      <c r="AA26" s="78">
        <f t="shared" si="20"/>
        <v>398.65212221149727</v>
      </c>
      <c r="AB26" s="309"/>
      <c r="AC26" s="378"/>
      <c r="AD26" s="371" t="s">
        <v>1468</v>
      </c>
      <c r="AE26" s="372">
        <f t="shared" si="14"/>
        <v>1097.652</v>
      </c>
      <c r="AF26" s="372">
        <f t="shared" si="15"/>
        <v>1115.6685765765767</v>
      </c>
      <c r="AG26" s="78">
        <f t="shared" si="16"/>
        <v>1135.35725</v>
      </c>
      <c r="AH26" s="78">
        <f t="shared" si="21"/>
        <v>1116.2259421921924</v>
      </c>
      <c r="AI26" s="379"/>
      <c r="AJ26" s="378"/>
      <c r="AK26" s="371" t="s">
        <v>1468</v>
      </c>
      <c r="AL26" s="372">
        <f t="shared" si="17"/>
        <v>23.521114285714287</v>
      </c>
      <c r="AM26" s="372">
        <f t="shared" si="18"/>
        <v>23.907183783783786</v>
      </c>
      <c r="AN26" s="78">
        <f t="shared" si="19"/>
        <v>24.329083928571428</v>
      </c>
      <c r="AO26" s="78">
        <f t="shared" si="22"/>
        <v>23.919127332689829</v>
      </c>
      <c r="AP26" s="380"/>
    </row>
    <row r="27" spans="2:42" x14ac:dyDescent="0.3">
      <c r="B27" s="54" t="s">
        <v>1477</v>
      </c>
      <c r="C27" s="54" t="s">
        <v>26</v>
      </c>
      <c r="E27" s="1">
        <v>2519</v>
      </c>
      <c r="F27" s="309">
        <v>9873</v>
      </c>
      <c r="G27" s="309">
        <v>2487</v>
      </c>
      <c r="H27" s="368">
        <f t="shared" si="0"/>
        <v>3.2216368895315789E-6</v>
      </c>
      <c r="J27" s="1">
        <v>2428</v>
      </c>
      <c r="K27" s="309">
        <v>9786</v>
      </c>
      <c r="L27" s="309">
        <v>2376</v>
      </c>
      <c r="M27" s="368">
        <f t="shared" si="1"/>
        <v>3.240878702388832E-6</v>
      </c>
      <c r="O27" s="1">
        <v>2368</v>
      </c>
      <c r="P27" s="309">
        <v>9704</v>
      </c>
      <c r="Q27" s="309">
        <v>2298</v>
      </c>
      <c r="R27" s="368">
        <f t="shared" si="2"/>
        <v>3.0022048058837279E-6</v>
      </c>
      <c r="U27" s="639"/>
      <c r="V27" s="309"/>
      <c r="W27" s="371" t="s">
        <v>1469</v>
      </c>
      <c r="X27" s="372">
        <f t="shared" si="11"/>
        <v>5091.1496363636361</v>
      </c>
      <c r="Y27" s="372">
        <f t="shared" si="12"/>
        <v>4819.1881132075478</v>
      </c>
      <c r="Z27" s="78">
        <f t="shared" si="13"/>
        <v>5113.3062962962958</v>
      </c>
      <c r="AA27" s="78">
        <f t="shared" si="20"/>
        <v>5007.8813486224926</v>
      </c>
      <c r="AB27" s="309"/>
      <c r="AC27" s="378"/>
      <c r="AD27" s="371" t="s">
        <v>1469</v>
      </c>
      <c r="AE27" s="372">
        <f t="shared" si="14"/>
        <v>3563.8047454545454</v>
      </c>
      <c r="AF27" s="372">
        <f t="shared" si="15"/>
        <v>3373.4316792452837</v>
      </c>
      <c r="AG27" s="78">
        <f t="shared" si="16"/>
        <v>3579.3144074074066</v>
      </c>
      <c r="AH27" s="78">
        <f t="shared" si="21"/>
        <v>3505.5169440357454</v>
      </c>
      <c r="AI27" s="379"/>
      <c r="AJ27" s="378"/>
      <c r="AK27" s="371" t="s">
        <v>1469</v>
      </c>
      <c r="AL27" s="372">
        <f t="shared" si="17"/>
        <v>66.184945272727262</v>
      </c>
      <c r="AM27" s="372">
        <f t="shared" si="18"/>
        <v>62.649445471698115</v>
      </c>
      <c r="AN27" s="78">
        <f t="shared" si="19"/>
        <v>66.472981851851841</v>
      </c>
      <c r="AO27" s="78">
        <f t="shared" si="22"/>
        <v>65.102457532092401</v>
      </c>
      <c r="AP27" s="380"/>
    </row>
    <row r="28" spans="2:42" x14ac:dyDescent="0.3">
      <c r="B28" s="54" t="s">
        <v>1478</v>
      </c>
      <c r="C28" s="54" t="s">
        <v>28</v>
      </c>
      <c r="E28" s="1">
        <v>26</v>
      </c>
      <c r="F28" s="309">
        <v>56538</v>
      </c>
      <c r="G28" s="309">
        <v>147</v>
      </c>
      <c r="H28" s="368">
        <f t="shared" si="0"/>
        <v>5.1985315301298998E-7</v>
      </c>
      <c r="J28" s="1">
        <v>27</v>
      </c>
      <c r="K28" s="309">
        <v>56667</v>
      </c>
      <c r="L28" s="309">
        <v>153</v>
      </c>
      <c r="M28" s="368">
        <f t="shared" si="1"/>
        <v>5.2631572610577771E-7</v>
      </c>
      <c r="O28" s="1">
        <v>27</v>
      </c>
      <c r="P28" s="309">
        <v>58889</v>
      </c>
      <c r="Q28" s="309">
        <v>159</v>
      </c>
      <c r="R28" s="368">
        <f t="shared" si="2"/>
        <v>5.3127791997035909E-7</v>
      </c>
      <c r="U28" s="639"/>
      <c r="V28" s="309"/>
      <c r="W28" s="371" t="s">
        <v>1470</v>
      </c>
      <c r="X28" s="372">
        <f t="shared" si="11"/>
        <v>5629.6706521739134</v>
      </c>
      <c r="Y28" s="372">
        <f t="shared" si="12"/>
        <v>5668.9620454545457</v>
      </c>
      <c r="Z28" s="78">
        <f t="shared" si="13"/>
        <v>5611.8657954545461</v>
      </c>
      <c r="AA28" s="78">
        <f t="shared" si="20"/>
        <v>5636.8328310276675</v>
      </c>
      <c r="AB28" s="309"/>
      <c r="AC28" s="378"/>
      <c r="AD28" s="371" t="s">
        <v>1470</v>
      </c>
      <c r="AE28" s="372">
        <f t="shared" si="14"/>
        <v>1688.901195652174</v>
      </c>
      <c r="AF28" s="372">
        <f t="shared" si="15"/>
        <v>1700.6886136363637</v>
      </c>
      <c r="AG28" s="78">
        <f t="shared" si="16"/>
        <v>1683.5597386363638</v>
      </c>
      <c r="AH28" s="78">
        <f t="shared" si="21"/>
        <v>1691.0498493083005</v>
      </c>
      <c r="AI28" s="379"/>
      <c r="AJ28" s="378"/>
      <c r="AK28" s="371" t="s">
        <v>1470</v>
      </c>
      <c r="AL28" s="372">
        <f t="shared" si="17"/>
        <v>11.259341304347826</v>
      </c>
      <c r="AM28" s="372">
        <f t="shared" si="18"/>
        <v>11.337924090909091</v>
      </c>
      <c r="AN28" s="78">
        <f t="shared" si="19"/>
        <v>11.223731590909093</v>
      </c>
      <c r="AO28" s="78">
        <f t="shared" si="22"/>
        <v>11.273665662055336</v>
      </c>
      <c r="AP28" s="380"/>
    </row>
    <row r="29" spans="2:42" x14ac:dyDescent="0.3">
      <c r="B29" s="54" t="s">
        <v>1478</v>
      </c>
      <c r="C29" s="54" t="s">
        <v>24</v>
      </c>
      <c r="E29" s="1">
        <v>49</v>
      </c>
      <c r="F29" s="309">
        <v>15714</v>
      </c>
      <c r="G29" s="309">
        <v>77</v>
      </c>
      <c r="H29" s="368">
        <f t="shared" si="0"/>
        <v>6.7932516173684445E-8</v>
      </c>
      <c r="J29" s="1">
        <v>50</v>
      </c>
      <c r="K29" s="309">
        <v>15800</v>
      </c>
      <c r="L29" s="309">
        <v>79</v>
      </c>
      <c r="M29" s="368">
        <f t="shared" si="1"/>
        <v>7.0489752072248368E-8</v>
      </c>
      <c r="O29" s="1">
        <v>51</v>
      </c>
      <c r="P29" s="309">
        <v>15686</v>
      </c>
      <c r="Q29" s="309">
        <v>80</v>
      </c>
      <c r="R29" s="368">
        <f t="shared" si="2"/>
        <v>6.982890012268108E-8</v>
      </c>
      <c r="U29" s="639"/>
      <c r="V29" s="309"/>
      <c r="W29" s="371" t="s">
        <v>26</v>
      </c>
      <c r="X29" s="372">
        <f t="shared" si="11"/>
        <v>335.07680672268907</v>
      </c>
      <c r="Y29" s="372">
        <f t="shared" si="12"/>
        <v>313.28386554621846</v>
      </c>
      <c r="Z29" s="78">
        <f t="shared" si="13"/>
        <v>332.88243697478993</v>
      </c>
      <c r="AA29" s="78">
        <f t="shared" si="20"/>
        <v>327.08103641456586</v>
      </c>
      <c r="AB29" s="309"/>
      <c r="AC29" s="378"/>
      <c r="AD29" s="371" t="s">
        <v>26</v>
      </c>
      <c r="AE29" s="372">
        <f t="shared" si="14"/>
        <v>1119.1565344537814</v>
      </c>
      <c r="AF29" s="372">
        <f t="shared" si="15"/>
        <v>1046.3681109243696</v>
      </c>
      <c r="AG29" s="78">
        <f t="shared" si="16"/>
        <v>1111.8273394957985</v>
      </c>
      <c r="AH29" s="78">
        <f t="shared" si="21"/>
        <v>1092.4506616246499</v>
      </c>
      <c r="AI29" s="379"/>
      <c r="AJ29" s="378"/>
      <c r="AK29" s="371" t="s">
        <v>26</v>
      </c>
      <c r="AL29" s="372">
        <f t="shared" si="17"/>
        <v>40.879370420168065</v>
      </c>
      <c r="AM29" s="372">
        <f t="shared" si="18"/>
        <v>38.220631596638654</v>
      </c>
      <c r="AN29" s="78">
        <f t="shared" si="19"/>
        <v>40.611657310924372</v>
      </c>
      <c r="AO29" s="78">
        <f t="shared" si="22"/>
        <v>39.903886442577026</v>
      </c>
      <c r="AP29" s="380"/>
    </row>
    <row r="30" spans="2:42" x14ac:dyDescent="0.3">
      <c r="B30" s="54" t="s">
        <v>1478</v>
      </c>
      <c r="C30" s="54" t="s">
        <v>1470</v>
      </c>
      <c r="E30" s="1">
        <v>0</v>
      </c>
      <c r="F30" s="309"/>
      <c r="G30" s="309">
        <v>0</v>
      </c>
      <c r="H30" s="368">
        <f t="shared" si="0"/>
        <v>0</v>
      </c>
      <c r="J30" s="1">
        <v>0</v>
      </c>
      <c r="K30" s="309"/>
      <c r="L30" s="309">
        <v>0</v>
      </c>
      <c r="M30" s="368">
        <f t="shared" si="1"/>
        <v>0</v>
      </c>
      <c r="O30" s="1">
        <v>0</v>
      </c>
      <c r="P30" s="309"/>
      <c r="Q30" s="309">
        <v>0</v>
      </c>
      <c r="R30" s="368">
        <f t="shared" si="2"/>
        <v>0</v>
      </c>
      <c r="U30" s="639"/>
      <c r="V30" s="309"/>
      <c r="W30" s="371" t="s">
        <v>27</v>
      </c>
      <c r="X30" s="372">
        <f t="shared" si="11"/>
        <v>178.79108695652172</v>
      </c>
      <c r="Y30" s="372">
        <f t="shared" si="12"/>
        <v>179.73580645161292</v>
      </c>
      <c r="Z30" s="78">
        <f t="shared" si="13"/>
        <v>185.54505376344085</v>
      </c>
      <c r="AA30" s="78">
        <f t="shared" si="20"/>
        <v>181.35731572385851</v>
      </c>
      <c r="AB30" s="309"/>
      <c r="AC30" s="378"/>
      <c r="AD30" s="371" t="s">
        <v>27</v>
      </c>
      <c r="AE30" s="372">
        <f t="shared" si="14"/>
        <v>598.95014130434777</v>
      </c>
      <c r="AF30" s="372">
        <f t="shared" si="15"/>
        <v>602.11495161290327</v>
      </c>
      <c r="AG30" s="78">
        <f t="shared" si="16"/>
        <v>621.57593010752691</v>
      </c>
      <c r="AH30" s="78">
        <f t="shared" si="21"/>
        <v>607.54700767492602</v>
      </c>
      <c r="AI30" s="379"/>
      <c r="AJ30" s="378"/>
      <c r="AK30" s="371" t="s">
        <v>27</v>
      </c>
      <c r="AL30" s="372">
        <f t="shared" si="17"/>
        <v>67.940613043478251</v>
      </c>
      <c r="AM30" s="372">
        <f t="shared" si="18"/>
        <v>68.299606451612902</v>
      </c>
      <c r="AN30" s="78">
        <f t="shared" si="19"/>
        <v>70.50712043010752</v>
      </c>
      <c r="AO30" s="78">
        <f t="shared" si="22"/>
        <v>68.915779975066229</v>
      </c>
      <c r="AP30" s="380"/>
    </row>
    <row r="31" spans="2:42" ht="15" customHeight="1" x14ac:dyDescent="0.3">
      <c r="B31" s="54" t="s">
        <v>1479</v>
      </c>
      <c r="C31" s="54" t="s">
        <v>28</v>
      </c>
      <c r="E31" s="1">
        <v>19259</v>
      </c>
      <c r="F31" s="309">
        <v>100152</v>
      </c>
      <c r="G31" s="309">
        <v>192882</v>
      </c>
      <c r="H31" s="368">
        <f t="shared" si="0"/>
        <v>6.8211099224116693E-4</v>
      </c>
      <c r="J31" s="1">
        <v>19405</v>
      </c>
      <c r="K31" s="309">
        <v>100163</v>
      </c>
      <c r="L31" s="309">
        <v>194367</v>
      </c>
      <c r="M31" s="368">
        <f t="shared" si="1"/>
        <v>6.6861705056210261E-4</v>
      </c>
      <c r="O31" s="1">
        <v>19552</v>
      </c>
      <c r="P31" s="309">
        <v>100170</v>
      </c>
      <c r="Q31" s="309">
        <v>195852</v>
      </c>
      <c r="R31" s="368">
        <f t="shared" si="2"/>
        <v>6.5441410806311182E-4</v>
      </c>
      <c r="U31" s="639"/>
      <c r="V31" s="309"/>
      <c r="W31" s="371" t="s">
        <v>28</v>
      </c>
      <c r="X31" s="372">
        <f t="shared" si="11"/>
        <v>1145.6011956521738</v>
      </c>
      <c r="Y31" s="372">
        <f t="shared" si="12"/>
        <v>1171.9273913043478</v>
      </c>
      <c r="Z31" s="78">
        <f t="shared" si="13"/>
        <v>1188.0917391304347</v>
      </c>
      <c r="AA31" s="78">
        <f t="shared" si="20"/>
        <v>1168.540108695652</v>
      </c>
      <c r="AB31" s="309"/>
      <c r="AC31" s="378"/>
      <c r="AD31" s="371" t="s">
        <v>28</v>
      </c>
      <c r="AE31" s="372">
        <f t="shared" si="14"/>
        <v>1248.7053032608694</v>
      </c>
      <c r="AF31" s="372">
        <f t="shared" si="15"/>
        <v>1277.4008565217391</v>
      </c>
      <c r="AG31" s="78">
        <f t="shared" si="16"/>
        <v>1295.0199956521737</v>
      </c>
      <c r="AH31" s="78">
        <f t="shared" si="21"/>
        <v>1273.7087184782606</v>
      </c>
      <c r="AI31" s="379"/>
      <c r="AJ31" s="378"/>
      <c r="AK31" s="371" t="s">
        <v>28</v>
      </c>
      <c r="AL31" s="372">
        <f t="shared" si="17"/>
        <v>10.310410760869564</v>
      </c>
      <c r="AM31" s="372">
        <f t="shared" si="18"/>
        <v>10.547346521739129</v>
      </c>
      <c r="AN31" s="78">
        <f t="shared" si="19"/>
        <v>10.692825652173912</v>
      </c>
      <c r="AO31" s="78">
        <f t="shared" si="22"/>
        <v>10.516860978260869</v>
      </c>
      <c r="AP31" s="380"/>
    </row>
    <row r="32" spans="2:42" ht="18" customHeight="1" x14ac:dyDescent="0.3">
      <c r="B32" s="54" t="s">
        <v>1479</v>
      </c>
      <c r="C32" s="54" t="s">
        <v>24</v>
      </c>
      <c r="E32" s="1">
        <v>6530673</v>
      </c>
      <c r="F32" s="309">
        <v>75759</v>
      </c>
      <c r="G32" s="309">
        <v>49475895</v>
      </c>
      <c r="H32" s="368">
        <f t="shared" si="0"/>
        <v>4.3649636847987186E-2</v>
      </c>
      <c r="J32" s="1">
        <v>7138620</v>
      </c>
      <c r="K32" s="309">
        <v>60883</v>
      </c>
      <c r="L32" s="309">
        <v>43462323</v>
      </c>
      <c r="M32" s="368">
        <f t="shared" si="1"/>
        <v>3.8780359148784527E-2</v>
      </c>
      <c r="O32" s="1">
        <v>7232761</v>
      </c>
      <c r="P32" s="309">
        <v>78615</v>
      </c>
      <c r="Q32" s="309">
        <v>56860704</v>
      </c>
      <c r="R32" s="368">
        <f t="shared" si="2"/>
        <v>4.9631505256516661E-2</v>
      </c>
      <c r="U32" s="639"/>
      <c r="V32" s="309"/>
      <c r="W32" s="77" t="s">
        <v>1472</v>
      </c>
      <c r="X32" s="373">
        <f t="shared" si="11"/>
        <v>1120.8636363636363</v>
      </c>
      <c r="Y32" s="373">
        <f t="shared" si="12"/>
        <v>1119.1424999999999</v>
      </c>
      <c r="Z32" s="374">
        <f t="shared" si="13"/>
        <v>1109.4345454545455</v>
      </c>
      <c r="AA32" s="374">
        <f t="shared" si="20"/>
        <v>1116.4802272727272</v>
      </c>
      <c r="AB32" s="309"/>
      <c r="AC32" s="378"/>
      <c r="AD32" s="77" t="s">
        <v>1472</v>
      </c>
      <c r="AE32" s="373">
        <f t="shared" si="14"/>
        <v>1770.9645454545453</v>
      </c>
      <c r="AF32" s="373">
        <f t="shared" si="15"/>
        <v>1768.2451499999997</v>
      </c>
      <c r="AG32" s="374">
        <f t="shared" si="16"/>
        <v>1752.9065818181821</v>
      </c>
      <c r="AH32" s="374">
        <f t="shared" si="21"/>
        <v>1764.0387590909093</v>
      </c>
      <c r="AI32" s="379"/>
      <c r="AJ32" s="378"/>
      <c r="AK32" s="77" t="s">
        <v>1472</v>
      </c>
      <c r="AL32" s="373">
        <f t="shared" si="17"/>
        <v>3.3625909090909087</v>
      </c>
      <c r="AM32" s="373">
        <f t="shared" si="18"/>
        <v>3.3574275</v>
      </c>
      <c r="AN32" s="374">
        <f t="shared" si="19"/>
        <v>3.3283036363636365</v>
      </c>
      <c r="AO32" s="374">
        <f t="shared" si="22"/>
        <v>3.3494406818181814</v>
      </c>
      <c r="AP32" s="380"/>
    </row>
    <row r="33" spans="2:42" ht="15" thickBot="1" x14ac:dyDescent="0.35">
      <c r="B33" s="54" t="s">
        <v>1479</v>
      </c>
      <c r="C33" s="54" t="s">
        <v>25</v>
      </c>
      <c r="E33" s="1">
        <v>76649</v>
      </c>
      <c r="F33" s="309">
        <v>320272</v>
      </c>
      <c r="G33" s="309">
        <v>2454850</v>
      </c>
      <c r="H33" s="368">
        <f t="shared" si="0"/>
        <v>6.6434661210980532E-3</v>
      </c>
      <c r="J33" s="1">
        <v>67876</v>
      </c>
      <c r="K33" s="309">
        <v>323156</v>
      </c>
      <c r="L33" s="309">
        <v>2193455</v>
      </c>
      <c r="M33" s="368">
        <f t="shared" si="1"/>
        <v>6.0147044456463194E-3</v>
      </c>
      <c r="O33" s="1">
        <v>68457</v>
      </c>
      <c r="P33" s="309">
        <v>322716</v>
      </c>
      <c r="Q33" s="309">
        <v>2209220</v>
      </c>
      <c r="R33" s="368">
        <f t="shared" si="2"/>
        <v>5.9738228274560804E-3</v>
      </c>
      <c r="U33" s="640"/>
      <c r="V33" s="381"/>
      <c r="W33" s="381"/>
      <c r="X33" s="381"/>
      <c r="Y33" s="381"/>
      <c r="Z33" s="381"/>
      <c r="AA33" s="381"/>
      <c r="AB33" s="381"/>
      <c r="AC33" s="382"/>
      <c r="AD33" s="381"/>
      <c r="AE33" s="381"/>
      <c r="AF33" s="381"/>
      <c r="AG33" s="381"/>
      <c r="AH33" s="381"/>
      <c r="AI33" s="383"/>
      <c r="AJ33" s="382"/>
      <c r="AK33" s="381"/>
      <c r="AL33" s="381"/>
      <c r="AM33" s="381"/>
      <c r="AN33" s="381"/>
      <c r="AO33" s="381"/>
      <c r="AP33" s="383"/>
    </row>
    <row r="34" spans="2:42" x14ac:dyDescent="0.3">
      <c r="B34" s="54" t="s">
        <v>1479</v>
      </c>
      <c r="C34" s="54" t="s">
        <v>1468</v>
      </c>
      <c r="E34" s="1">
        <v>204100</v>
      </c>
      <c r="F34" s="309">
        <v>65083</v>
      </c>
      <c r="G34" s="309">
        <v>1328340</v>
      </c>
      <c r="H34" s="368">
        <f t="shared" si="0"/>
        <v>1.8737310008897069E-3</v>
      </c>
      <c r="J34" s="1">
        <v>198170</v>
      </c>
      <c r="K34" s="309">
        <v>69030</v>
      </c>
      <c r="L34" s="309">
        <v>1367968</v>
      </c>
      <c r="M34" s="368">
        <f t="shared" si="1"/>
        <v>1.9032650506322711E-3</v>
      </c>
      <c r="O34" s="1">
        <v>183285</v>
      </c>
      <c r="P34" s="309">
        <v>64919</v>
      </c>
      <c r="Q34" s="309">
        <v>1189866</v>
      </c>
      <c r="R34" s="368">
        <f t="shared" si="2"/>
        <v>1.6711738385177073E-3</v>
      </c>
      <c r="AC34" s="378"/>
      <c r="AD34" s="309"/>
      <c r="AE34" s="309"/>
      <c r="AF34" s="309"/>
      <c r="AG34" s="309"/>
      <c r="AH34" s="309"/>
      <c r="AI34" s="380"/>
      <c r="AJ34" s="378"/>
      <c r="AK34" s="309"/>
      <c r="AL34" s="309"/>
      <c r="AM34" s="309"/>
      <c r="AN34" s="309"/>
      <c r="AO34" s="309"/>
      <c r="AP34" s="380"/>
    </row>
    <row r="35" spans="2:42" ht="15" thickBot="1" x14ac:dyDescent="0.35">
      <c r="B35" s="54" t="s">
        <v>1479</v>
      </c>
      <c r="C35" s="54" t="s">
        <v>27</v>
      </c>
      <c r="E35" s="1">
        <v>17335102</v>
      </c>
      <c r="F35" s="309">
        <v>31711</v>
      </c>
      <c r="G35" s="309">
        <v>54971626</v>
      </c>
      <c r="H35" s="368">
        <f t="shared" si="0"/>
        <v>0.15310613027808825</v>
      </c>
      <c r="J35" s="1">
        <v>16318060</v>
      </c>
      <c r="K35" s="309">
        <v>23157</v>
      </c>
      <c r="L35" s="309">
        <v>37787927</v>
      </c>
      <c r="M35" s="368">
        <f t="shared" si="1"/>
        <v>0.10978848165696857</v>
      </c>
      <c r="O35" s="1">
        <v>16575887</v>
      </c>
      <c r="P35" s="309">
        <v>33340</v>
      </c>
      <c r="Q35" s="309">
        <v>55263891</v>
      </c>
      <c r="R35" s="368">
        <f t="shared" si="2"/>
        <v>0.16582103891106492</v>
      </c>
      <c r="AC35" s="378"/>
      <c r="AD35" s="309"/>
      <c r="AE35" s="309"/>
      <c r="AF35" s="309"/>
      <c r="AG35" s="309"/>
      <c r="AH35" s="309"/>
      <c r="AI35" s="380"/>
      <c r="AJ35" s="378"/>
      <c r="AK35" s="309"/>
      <c r="AL35" s="309"/>
      <c r="AM35" s="309"/>
      <c r="AN35" s="309"/>
      <c r="AO35" s="309"/>
      <c r="AP35" s="380"/>
    </row>
    <row r="36" spans="2:42" ht="15" customHeight="1" x14ac:dyDescent="0.3">
      <c r="B36" s="54" t="s">
        <v>1479</v>
      </c>
      <c r="C36" s="54" t="s">
        <v>1470</v>
      </c>
      <c r="E36" s="1">
        <v>422098</v>
      </c>
      <c r="F36" s="309">
        <v>442996</v>
      </c>
      <c r="G36" s="309">
        <v>18698786</v>
      </c>
      <c r="H36" s="368">
        <f t="shared" si="0"/>
        <v>1.0334381691412906E-2</v>
      </c>
      <c r="J36" s="1">
        <v>457884</v>
      </c>
      <c r="K36" s="309">
        <v>403263</v>
      </c>
      <c r="L36" s="309">
        <v>18464782</v>
      </c>
      <c r="M36" s="368">
        <f t="shared" si="1"/>
        <v>9.6961134278088449E-3</v>
      </c>
      <c r="O36" s="1">
        <v>476176</v>
      </c>
      <c r="P36" s="309">
        <v>370720</v>
      </c>
      <c r="Q36" s="309">
        <v>17652814</v>
      </c>
      <c r="R36" s="368">
        <f t="shared" si="2"/>
        <v>9.1679874643887608E-3</v>
      </c>
      <c r="U36" s="641" t="s">
        <v>1854</v>
      </c>
      <c r="V36" s="375"/>
      <c r="W36" s="375"/>
      <c r="X36" s="375"/>
      <c r="Y36" s="375"/>
      <c r="Z36" s="375"/>
      <c r="AA36" s="375"/>
      <c r="AB36" s="375"/>
      <c r="AC36" s="376"/>
      <c r="AD36" s="375"/>
      <c r="AE36" s="375"/>
      <c r="AF36" s="375"/>
      <c r="AG36" s="375"/>
      <c r="AH36" s="375"/>
      <c r="AI36" s="377"/>
      <c r="AJ36" s="376"/>
      <c r="AK36" s="375"/>
      <c r="AL36" s="375"/>
      <c r="AM36" s="375"/>
      <c r="AN36" s="375"/>
      <c r="AO36" s="375"/>
      <c r="AP36" s="377"/>
    </row>
    <row r="37" spans="2:42" ht="15.75" customHeight="1" x14ac:dyDescent="0.3">
      <c r="B37" s="54" t="s">
        <v>1479</v>
      </c>
      <c r="C37" s="54" t="s">
        <v>26</v>
      </c>
      <c r="E37" s="1">
        <v>5566385</v>
      </c>
      <c r="F37" s="309">
        <v>33047</v>
      </c>
      <c r="G37" s="309">
        <v>18395106</v>
      </c>
      <c r="H37" s="368">
        <f t="shared" si="0"/>
        <v>2.3828850855023596E-2</v>
      </c>
      <c r="J37" s="1">
        <v>5822173</v>
      </c>
      <c r="K37" s="309">
        <v>31806</v>
      </c>
      <c r="L37" s="309">
        <v>18518045</v>
      </c>
      <c r="M37" s="368">
        <f t="shared" si="1"/>
        <v>2.5258727967330807E-2</v>
      </c>
      <c r="O37" s="1">
        <v>6050953</v>
      </c>
      <c r="P37" s="309">
        <v>32160</v>
      </c>
      <c r="Q37" s="309">
        <v>19459727</v>
      </c>
      <c r="R37" s="368">
        <f t="shared" si="2"/>
        <v>2.5423013890594141E-2</v>
      </c>
      <c r="U37" s="642"/>
      <c r="V37" s="309"/>
      <c r="W37" s="309"/>
      <c r="X37" s="384"/>
      <c r="Y37" s="385"/>
      <c r="Z37" s="385"/>
      <c r="AA37" s="309"/>
      <c r="AB37" s="309"/>
      <c r="AC37" s="378"/>
      <c r="AD37" s="309"/>
      <c r="AE37" s="309"/>
      <c r="AF37" s="309"/>
      <c r="AG37" s="309"/>
      <c r="AH37" s="309"/>
      <c r="AI37" s="380"/>
      <c r="AJ37" s="378"/>
      <c r="AK37" s="309"/>
      <c r="AL37" s="309"/>
      <c r="AM37" s="309"/>
      <c r="AN37" s="309"/>
      <c r="AO37" s="309"/>
      <c r="AP37" s="380"/>
    </row>
    <row r="38" spans="2:42" x14ac:dyDescent="0.3">
      <c r="B38" s="54" t="s">
        <v>1480</v>
      </c>
      <c r="C38" s="54" t="s">
        <v>24</v>
      </c>
      <c r="E38" s="1">
        <v>2125</v>
      </c>
      <c r="F38" s="309">
        <v>49002</v>
      </c>
      <c r="G38" s="309">
        <v>10413</v>
      </c>
      <c r="H38" s="368">
        <f t="shared" si="0"/>
        <v>9.1867700119035856E-6</v>
      </c>
      <c r="J38" s="1">
        <v>1383</v>
      </c>
      <c r="K38" s="309">
        <v>55061</v>
      </c>
      <c r="L38" s="309">
        <v>7615</v>
      </c>
      <c r="M38" s="368">
        <f t="shared" si="1"/>
        <v>6.7946767345591299E-6</v>
      </c>
      <c r="O38" s="1">
        <v>1137</v>
      </c>
      <c r="P38" s="309">
        <v>41847</v>
      </c>
      <c r="Q38" s="309">
        <v>4758</v>
      </c>
      <c r="R38" s="368">
        <f t="shared" si="2"/>
        <v>4.1530738347964573E-6</v>
      </c>
      <c r="U38" s="642"/>
      <c r="V38" s="309"/>
      <c r="W38" s="623" t="s">
        <v>1941</v>
      </c>
      <c r="X38" s="624"/>
      <c r="Y38" s="624"/>
      <c r="Z38" s="624"/>
      <c r="AA38" s="625"/>
      <c r="AB38" s="309"/>
      <c r="AC38" s="378"/>
      <c r="AD38" s="623" t="s">
        <v>1944</v>
      </c>
      <c r="AE38" s="624"/>
      <c r="AF38" s="624"/>
      <c r="AG38" s="624"/>
      <c r="AH38" s="625"/>
      <c r="AI38" s="379"/>
      <c r="AJ38" s="378"/>
      <c r="AK38" s="623" t="s">
        <v>1946</v>
      </c>
      <c r="AL38" s="624"/>
      <c r="AM38" s="624"/>
      <c r="AN38" s="624"/>
      <c r="AO38" s="625"/>
      <c r="AP38" s="380"/>
    </row>
    <row r="39" spans="2:42" ht="17.25" customHeight="1" x14ac:dyDescent="0.3">
      <c r="B39" s="54" t="s">
        <v>1480</v>
      </c>
      <c r="C39" s="54" t="s">
        <v>25</v>
      </c>
      <c r="E39" s="1">
        <v>25311</v>
      </c>
      <c r="F39" s="309">
        <v>216278</v>
      </c>
      <c r="G39" s="309">
        <v>547420</v>
      </c>
      <c r="H39" s="368">
        <f t="shared" si="0"/>
        <v>1.4814616876841749E-3</v>
      </c>
      <c r="J39" s="1">
        <v>22062</v>
      </c>
      <c r="K39" s="309">
        <v>188129</v>
      </c>
      <c r="L39" s="309">
        <v>415050</v>
      </c>
      <c r="M39" s="368">
        <f t="shared" si="1"/>
        <v>1.1381145636292994E-3</v>
      </c>
      <c r="O39" s="1">
        <v>20133</v>
      </c>
      <c r="P39" s="309">
        <v>200694</v>
      </c>
      <c r="Q39" s="309">
        <v>404057</v>
      </c>
      <c r="R39" s="368">
        <f t="shared" si="2"/>
        <v>1.0925869448010707E-3</v>
      </c>
      <c r="U39" s="642"/>
      <c r="V39" s="309"/>
      <c r="W39" s="369"/>
      <c r="X39" s="364">
        <v>2017</v>
      </c>
      <c r="Y39" s="364">
        <v>2018</v>
      </c>
      <c r="Z39" s="364">
        <v>2019</v>
      </c>
      <c r="AA39" s="370" t="s">
        <v>1852</v>
      </c>
      <c r="AB39" s="309"/>
      <c r="AC39" s="378"/>
      <c r="AD39" s="369"/>
      <c r="AE39" s="364">
        <v>2017</v>
      </c>
      <c r="AF39" s="364">
        <v>2018</v>
      </c>
      <c r="AG39" s="364">
        <v>2019</v>
      </c>
      <c r="AH39" s="370" t="s">
        <v>1852</v>
      </c>
      <c r="AI39" s="379"/>
      <c r="AJ39" s="378"/>
      <c r="AK39" s="369"/>
      <c r="AL39" s="364">
        <v>2017</v>
      </c>
      <c r="AM39" s="364">
        <v>2018</v>
      </c>
      <c r="AN39" s="364">
        <v>2019</v>
      </c>
      <c r="AO39" s="370" t="s">
        <v>1852</v>
      </c>
      <c r="AP39" s="380"/>
    </row>
    <row r="40" spans="2:42" x14ac:dyDescent="0.3">
      <c r="B40" s="54" t="s">
        <v>1480</v>
      </c>
      <c r="C40" s="54" t="s">
        <v>1468</v>
      </c>
      <c r="E40" s="1">
        <v>0</v>
      </c>
      <c r="F40" s="309"/>
      <c r="G40" s="309">
        <v>0</v>
      </c>
      <c r="H40" s="368">
        <f t="shared" si="0"/>
        <v>0</v>
      </c>
      <c r="J40" s="1">
        <v>0</v>
      </c>
      <c r="K40" s="309"/>
      <c r="L40" s="309">
        <v>0</v>
      </c>
      <c r="M40" s="368">
        <f t="shared" si="1"/>
        <v>0</v>
      </c>
      <c r="O40" s="1">
        <v>0</v>
      </c>
      <c r="P40" s="309"/>
      <c r="Q40" s="309">
        <v>0</v>
      </c>
      <c r="R40" s="368">
        <f t="shared" si="2"/>
        <v>0</v>
      </c>
      <c r="U40" s="642"/>
      <c r="V40" s="309"/>
      <c r="W40" s="371" t="s">
        <v>24</v>
      </c>
      <c r="X40" s="372">
        <f t="shared" ref="X40:X48" si="23">SUMPRODUCT(--($C$3:$C$1002=$W40),$F$3:$F$1002,$H$3:$H$1002)*100/10000</f>
        <v>748.24938507136994</v>
      </c>
      <c r="Y40" s="372">
        <f t="shared" ref="Y40:Y48" si="24">SUMPRODUCT(--($C$3:$C$1002=$W40),$K$3:$K$1002,$M$3:$M$1002)*100/10000</f>
        <v>745.57990491059138</v>
      </c>
      <c r="Z40" s="78">
        <f t="shared" ref="Z40:Z48" si="25">SUMPRODUCT(--($C$3:$C$1002=$W40),$P$3:$P$1002,$R$3:$R$1002)*100/10000</f>
        <v>733.95464781785904</v>
      </c>
      <c r="AA40" s="78">
        <f t="shared" ref="AA40:AA48" si="26">AVERAGE(X40:Z40)</f>
        <v>742.59464593327345</v>
      </c>
      <c r="AB40" s="309"/>
      <c r="AC40" s="378"/>
      <c r="AD40" s="371" t="s">
        <v>24</v>
      </c>
      <c r="AE40" s="372">
        <f>SUMPRODUCT(--($C$3:$C$1002=$AD40),$F$3:$F$1002,$H$3:$H$1002)*100/10000*VLOOKUP($AD40,$AJ$5:$AL$13,3,FALSE)/100</f>
        <v>2663.7678108540772</v>
      </c>
      <c r="AF40" s="372">
        <f t="shared" ref="AF40:AF48" si="27">SUMPRODUCT(--($C$3:$C$1002=$AD40),$K$3:$K$1002,$M$3:$M$1002)*100/10000*VLOOKUP($AD40,$AJ$5:$AL$13,3,FALSE)/100</f>
        <v>2654.264461481705</v>
      </c>
      <c r="AG40" s="78">
        <f t="shared" ref="AG40:AG48" si="28">SUMPRODUCT(--($C$3:$C$1002=$AD40),$P$3:$P$1002,$R$3:$R$1002)*100/10000*VLOOKUP($AD40,$AJ$5:$AL$13,3,FALSE)/100</f>
        <v>2612.8785462315782</v>
      </c>
      <c r="AH40" s="78">
        <f t="shared" ref="AH40:AH48" si="29">AVERAGE(AE40:AG40)</f>
        <v>2643.6369395224533</v>
      </c>
      <c r="AI40" s="379"/>
      <c r="AJ40" s="378"/>
      <c r="AK40" s="371" t="s">
        <v>24</v>
      </c>
      <c r="AL40" s="372">
        <f t="shared" ref="AL40:AL48" si="30">SUMPRODUCT(--($C$3:$C$1002=$AK40),$F$3:$F$1002,$H$3:$H$1002)*100/10000*VLOOKUP($AK40,$AJ$5:$AL$13,2,FALSE)</f>
        <v>71.083691581780144</v>
      </c>
      <c r="AM40" s="372">
        <f t="shared" ref="AM40:AM48" si="31">SUMPRODUCT(--($C$3:$C$1002=$AK40),$K$3:$K$1002,$M$3:$M$1002)*100/10000*VLOOKUP($AK40,$AJ$5:$AL$13,2,FALSE)</f>
        <v>70.830090966506177</v>
      </c>
      <c r="AN40" s="78">
        <f t="shared" ref="AN40:AN48" si="32">SUMPRODUCT(--($C$3:$C$1002=$AK40),$P$3:$P$1002,$R$3:$R$1002)*100/10000*VLOOKUP($AK40,$AJ$5:$AL$13,2,FALSE)</f>
        <v>69.725691542696609</v>
      </c>
      <c r="AO40" s="78">
        <f t="shared" ref="AO40:AO48" si="33">AVERAGE(AL40:AN40)</f>
        <v>70.546491363660977</v>
      </c>
      <c r="AP40" s="380"/>
    </row>
    <row r="41" spans="2:42" x14ac:dyDescent="0.3">
      <c r="B41" s="54" t="s">
        <v>1480</v>
      </c>
      <c r="C41" s="54" t="s">
        <v>1469</v>
      </c>
      <c r="E41" s="1">
        <v>4002</v>
      </c>
      <c r="F41" s="309">
        <v>153433</v>
      </c>
      <c r="G41" s="309">
        <v>61404</v>
      </c>
      <c r="H41" s="368">
        <f t="shared" si="0"/>
        <v>1.9556074061378669E-4</v>
      </c>
      <c r="J41" s="1">
        <v>4207</v>
      </c>
      <c r="K41" s="309">
        <v>153240</v>
      </c>
      <c r="L41" s="309">
        <v>64468</v>
      </c>
      <c r="M41" s="368">
        <f t="shared" si="1"/>
        <v>2.3553245081149292E-4</v>
      </c>
      <c r="O41" s="1">
        <v>4366</v>
      </c>
      <c r="P41" s="309">
        <v>153071</v>
      </c>
      <c r="Q41" s="309">
        <v>66831</v>
      </c>
      <c r="R41" s="368">
        <f t="shared" si="2"/>
        <v>2.3996942455381542E-4</v>
      </c>
      <c r="U41" s="642"/>
      <c r="V41" s="309"/>
      <c r="W41" s="371" t="s">
        <v>25</v>
      </c>
      <c r="X41" s="372">
        <f t="shared" si="23"/>
        <v>2547.9632440851942</v>
      </c>
      <c r="Y41" s="372">
        <f t="shared" si="24"/>
        <v>2456.686032968189</v>
      </c>
      <c r="Z41" s="78">
        <f t="shared" si="25"/>
        <v>2500.9310546825564</v>
      </c>
      <c r="AA41" s="78">
        <f t="shared" si="26"/>
        <v>2501.8601105786465</v>
      </c>
      <c r="AB41" s="309"/>
      <c r="AC41" s="378"/>
      <c r="AD41" s="371" t="s">
        <v>25</v>
      </c>
      <c r="AE41" s="372">
        <f t="shared" ref="AE41:AE48" si="34">SUMPRODUCT(--($C$3:$C$1002=$W41),$F$3:$F$1002,$H$3:$H$1002)*100/10000*VLOOKUP($AD41,$AJ$5:$AL$13,3,FALSE)/100</f>
        <v>1707.1353735370801</v>
      </c>
      <c r="AF41" s="372">
        <f t="shared" si="27"/>
        <v>1645.9796420886864</v>
      </c>
      <c r="AG41" s="78">
        <f t="shared" si="28"/>
        <v>1675.6238066373128</v>
      </c>
      <c r="AH41" s="78">
        <f t="shared" si="29"/>
        <v>1676.2462740876929</v>
      </c>
      <c r="AI41" s="379"/>
      <c r="AJ41" s="378"/>
      <c r="AK41" s="371" t="s">
        <v>25</v>
      </c>
      <c r="AL41" s="372">
        <f t="shared" si="30"/>
        <v>40.767411905363112</v>
      </c>
      <c r="AM41" s="372">
        <f t="shared" si="31"/>
        <v>39.306976527491024</v>
      </c>
      <c r="AN41" s="78">
        <f t="shared" si="32"/>
        <v>40.0148968749209</v>
      </c>
      <c r="AO41" s="78">
        <f t="shared" si="33"/>
        <v>40.02976176925835</v>
      </c>
      <c r="AP41" s="380"/>
    </row>
    <row r="42" spans="2:42" x14ac:dyDescent="0.3">
      <c r="B42" s="54" t="s">
        <v>1480</v>
      </c>
      <c r="C42" s="54" t="s">
        <v>26</v>
      </c>
      <c r="E42" s="1">
        <v>80992</v>
      </c>
      <c r="F42" s="309">
        <v>21783</v>
      </c>
      <c r="G42" s="309">
        <v>176428</v>
      </c>
      <c r="H42" s="368">
        <f t="shared" si="0"/>
        <v>2.2854320592934353E-4</v>
      </c>
      <c r="J42" s="1">
        <v>66378</v>
      </c>
      <c r="K42" s="309">
        <v>28240</v>
      </c>
      <c r="L42" s="309">
        <v>187453</v>
      </c>
      <c r="M42" s="368">
        <f t="shared" si="1"/>
        <v>2.5568705193556131E-4</v>
      </c>
      <c r="O42" s="1">
        <v>57563</v>
      </c>
      <c r="P42" s="309">
        <v>19565</v>
      </c>
      <c r="Q42" s="309">
        <v>112621</v>
      </c>
      <c r="R42" s="368">
        <f t="shared" si="2"/>
        <v>1.4713285789531388E-4</v>
      </c>
      <c r="U42" s="642"/>
      <c r="V42" s="309"/>
      <c r="W42" s="371" t="s">
        <v>1468</v>
      </c>
      <c r="X42" s="372">
        <f t="shared" si="23"/>
        <v>512.95278148552575</v>
      </c>
      <c r="Y42" s="372">
        <f t="shared" si="24"/>
        <v>518.3330426313363</v>
      </c>
      <c r="Z42" s="78">
        <f t="shared" si="25"/>
        <v>521.15949092778476</v>
      </c>
      <c r="AA42" s="78">
        <f t="shared" si="26"/>
        <v>517.48177168154882</v>
      </c>
      <c r="AB42" s="309"/>
      <c r="AC42" s="378"/>
      <c r="AD42" s="371" t="s">
        <v>1468</v>
      </c>
      <c r="AE42" s="372">
        <f t="shared" si="34"/>
        <v>1436.267788159472</v>
      </c>
      <c r="AF42" s="372">
        <f t="shared" si="27"/>
        <v>1451.3325193677417</v>
      </c>
      <c r="AG42" s="78">
        <f t="shared" si="28"/>
        <v>1459.2465745977972</v>
      </c>
      <c r="AH42" s="78">
        <f t="shared" si="29"/>
        <v>1448.9489607083369</v>
      </c>
      <c r="AI42" s="379"/>
      <c r="AJ42" s="378"/>
      <c r="AK42" s="371" t="s">
        <v>1468</v>
      </c>
      <c r="AL42" s="372">
        <f t="shared" si="30"/>
        <v>30.777166889131543</v>
      </c>
      <c r="AM42" s="372">
        <f t="shared" si="31"/>
        <v>31.099982557880178</v>
      </c>
      <c r="AN42" s="78">
        <f t="shared" si="32"/>
        <v>31.269569455667085</v>
      </c>
      <c r="AO42" s="78">
        <f t="shared" si="33"/>
        <v>31.048906300892934</v>
      </c>
      <c r="AP42" s="380"/>
    </row>
    <row r="43" spans="2:42" x14ac:dyDescent="0.3">
      <c r="B43" s="54" t="s">
        <v>0</v>
      </c>
      <c r="C43" s="54" t="s">
        <v>24</v>
      </c>
      <c r="E43" s="1">
        <v>67771</v>
      </c>
      <c r="F43" s="309">
        <v>64363</v>
      </c>
      <c r="G43" s="309">
        <v>436194</v>
      </c>
      <c r="H43" s="368">
        <f t="shared" si="0"/>
        <v>3.8482799947875466E-4</v>
      </c>
      <c r="J43" s="1">
        <v>52783</v>
      </c>
      <c r="K43" s="309">
        <v>73365</v>
      </c>
      <c r="L43" s="309">
        <v>387240</v>
      </c>
      <c r="M43" s="368">
        <f t="shared" si="1"/>
        <v>3.455247037019931E-4</v>
      </c>
      <c r="O43" s="1">
        <v>58949</v>
      </c>
      <c r="P43" s="309">
        <v>55507</v>
      </c>
      <c r="Q43" s="309">
        <v>327206</v>
      </c>
      <c r="R43" s="368">
        <f t="shared" si="2"/>
        <v>2.8560543866927481E-4</v>
      </c>
      <c r="U43" s="642"/>
      <c r="V43" s="309"/>
      <c r="W43" s="371" t="s">
        <v>1469</v>
      </c>
      <c r="X43" s="372">
        <f t="shared" si="23"/>
        <v>6843.9328320432323</v>
      </c>
      <c r="Y43" s="372">
        <f t="shared" si="24"/>
        <v>6122.7272297776353</v>
      </c>
      <c r="Z43" s="78">
        <f t="shared" si="25"/>
        <v>6386.7785399862132</v>
      </c>
      <c r="AA43" s="78">
        <f t="shared" si="26"/>
        <v>6451.1462006023603</v>
      </c>
      <c r="AB43" s="309"/>
      <c r="AC43" s="378"/>
      <c r="AD43" s="371" t="s">
        <v>1469</v>
      </c>
      <c r="AE43" s="372">
        <f t="shared" si="34"/>
        <v>4790.7529824302628</v>
      </c>
      <c r="AF43" s="372">
        <f t="shared" si="27"/>
        <v>4285.9090608443448</v>
      </c>
      <c r="AG43" s="78">
        <f t="shared" si="28"/>
        <v>4470.7449779903491</v>
      </c>
      <c r="AH43" s="78">
        <f t="shared" si="29"/>
        <v>4515.8023404216519</v>
      </c>
      <c r="AI43" s="379"/>
      <c r="AJ43" s="378"/>
      <c r="AK43" s="371" t="s">
        <v>1469</v>
      </c>
      <c r="AL43" s="372">
        <f t="shared" si="30"/>
        <v>88.97112681656202</v>
      </c>
      <c r="AM43" s="372">
        <f t="shared" si="31"/>
        <v>79.595453987109252</v>
      </c>
      <c r="AN43" s="78">
        <f t="shared" si="32"/>
        <v>83.028121019820773</v>
      </c>
      <c r="AO43" s="78">
        <f t="shared" si="33"/>
        <v>83.864900607830691</v>
      </c>
      <c r="AP43" s="380"/>
    </row>
    <row r="44" spans="2:42" x14ac:dyDescent="0.3">
      <c r="B44" s="54" t="s">
        <v>0</v>
      </c>
      <c r="C44" s="54" t="s">
        <v>25</v>
      </c>
      <c r="E44" s="1">
        <v>28372</v>
      </c>
      <c r="F44" s="309">
        <v>389537</v>
      </c>
      <c r="G44" s="309">
        <v>1105194</v>
      </c>
      <c r="H44" s="368">
        <f t="shared" si="0"/>
        <v>2.9909440072675895E-3</v>
      </c>
      <c r="J44" s="1">
        <v>29740</v>
      </c>
      <c r="K44" s="309">
        <v>399682</v>
      </c>
      <c r="L44" s="309">
        <v>1188655</v>
      </c>
      <c r="M44" s="368">
        <f t="shared" si="1"/>
        <v>3.2594279403223344E-3</v>
      </c>
      <c r="O44" s="1">
        <v>32413</v>
      </c>
      <c r="P44" s="309">
        <v>378019</v>
      </c>
      <c r="Q44" s="309">
        <v>1225274</v>
      </c>
      <c r="R44" s="368">
        <f t="shared" si="2"/>
        <v>3.3131918917484095E-3</v>
      </c>
      <c r="U44" s="642"/>
      <c r="V44" s="309"/>
      <c r="W44" s="371" t="s">
        <v>1470</v>
      </c>
      <c r="X44" s="372">
        <f t="shared" si="23"/>
        <v>7203.8726891908336</v>
      </c>
      <c r="Y44" s="372">
        <f t="shared" si="24"/>
        <v>7510.74380896405</v>
      </c>
      <c r="Z44" s="78">
        <f t="shared" si="25"/>
        <v>7502.7560636752578</v>
      </c>
      <c r="AA44" s="78">
        <f t="shared" si="26"/>
        <v>7405.7908539433802</v>
      </c>
      <c r="AB44" s="309"/>
      <c r="AC44" s="378"/>
      <c r="AD44" s="371" t="s">
        <v>1470</v>
      </c>
      <c r="AE44" s="372">
        <f t="shared" si="34"/>
        <v>2161.1618067572504</v>
      </c>
      <c r="AF44" s="372">
        <f t="shared" si="27"/>
        <v>2253.2231426892149</v>
      </c>
      <c r="AG44" s="78">
        <f t="shared" si="28"/>
        <v>2250.8268191025772</v>
      </c>
      <c r="AH44" s="78">
        <f t="shared" si="29"/>
        <v>2221.7372561830139</v>
      </c>
      <c r="AI44" s="379"/>
      <c r="AJ44" s="378"/>
      <c r="AK44" s="371" t="s">
        <v>1470</v>
      </c>
      <c r="AL44" s="372">
        <f t="shared" si="30"/>
        <v>14.407745378381668</v>
      </c>
      <c r="AM44" s="372">
        <f t="shared" si="31"/>
        <v>15.0214876179281</v>
      </c>
      <c r="AN44" s="78">
        <f t="shared" si="32"/>
        <v>15.005512127350515</v>
      </c>
      <c r="AO44" s="78">
        <f t="shared" si="33"/>
        <v>14.811581707886761</v>
      </c>
      <c r="AP44" s="380"/>
    </row>
    <row r="45" spans="2:42" x14ac:dyDescent="0.3">
      <c r="B45" s="54" t="s">
        <v>0</v>
      </c>
      <c r="C45" s="54" t="s">
        <v>1468</v>
      </c>
      <c r="E45" s="1">
        <v>82204</v>
      </c>
      <c r="F45" s="309">
        <v>98207</v>
      </c>
      <c r="G45" s="309">
        <v>807304</v>
      </c>
      <c r="H45" s="368">
        <f t="shared" si="0"/>
        <v>1.1387675835571195E-3</v>
      </c>
      <c r="J45" s="1">
        <v>61151</v>
      </c>
      <c r="K45" s="309">
        <v>103860</v>
      </c>
      <c r="L45" s="309">
        <v>635113</v>
      </c>
      <c r="M45" s="368">
        <f t="shared" si="1"/>
        <v>8.8363790388533479E-4</v>
      </c>
      <c r="O45" s="1">
        <v>7620</v>
      </c>
      <c r="P45" s="309">
        <v>87710</v>
      </c>
      <c r="Q45" s="309">
        <v>66835</v>
      </c>
      <c r="R45" s="368">
        <f t="shared" si="2"/>
        <v>9.3870153023391682E-5</v>
      </c>
      <c r="U45" s="642"/>
      <c r="V45" s="309"/>
      <c r="W45" s="371" t="s">
        <v>26</v>
      </c>
      <c r="X45" s="372">
        <f t="shared" si="23"/>
        <v>418.65950229514601</v>
      </c>
      <c r="Y45" s="372">
        <f t="shared" si="24"/>
        <v>398.79627495812144</v>
      </c>
      <c r="Z45" s="78">
        <f t="shared" si="25"/>
        <v>428.38725689639074</v>
      </c>
      <c r="AA45" s="78">
        <f t="shared" si="26"/>
        <v>415.28101138321944</v>
      </c>
      <c r="AB45" s="309"/>
      <c r="AC45" s="378"/>
      <c r="AD45" s="371" t="s">
        <v>26</v>
      </c>
      <c r="AE45" s="372">
        <f t="shared" si="34"/>
        <v>1398.3227376657876</v>
      </c>
      <c r="AF45" s="372">
        <f t="shared" si="27"/>
        <v>1331.9795583601256</v>
      </c>
      <c r="AG45" s="78">
        <f t="shared" si="28"/>
        <v>1430.813438033945</v>
      </c>
      <c r="AH45" s="78">
        <f t="shared" si="29"/>
        <v>1387.0385780199529</v>
      </c>
      <c r="AI45" s="379"/>
      <c r="AJ45" s="378"/>
      <c r="AK45" s="371" t="s">
        <v>26</v>
      </c>
      <c r="AL45" s="372">
        <f t="shared" si="30"/>
        <v>51.076459280007811</v>
      </c>
      <c r="AM45" s="372">
        <f t="shared" si="31"/>
        <v>48.653145544890812</v>
      </c>
      <c r="AN45" s="78">
        <f t="shared" si="32"/>
        <v>52.263245341359671</v>
      </c>
      <c r="AO45" s="78">
        <f t="shared" si="33"/>
        <v>50.664283388752757</v>
      </c>
      <c r="AP45" s="380"/>
    </row>
    <row r="46" spans="2:42" ht="15" customHeight="1" x14ac:dyDescent="0.3">
      <c r="B46" s="54" t="s">
        <v>0</v>
      </c>
      <c r="C46" s="54" t="s">
        <v>27</v>
      </c>
      <c r="E46" s="1">
        <v>16658</v>
      </c>
      <c r="F46" s="309">
        <v>18811</v>
      </c>
      <c r="G46" s="309">
        <v>31335</v>
      </c>
      <c r="H46" s="368">
        <f t="shared" si="0"/>
        <v>8.7273761781466957E-5</v>
      </c>
      <c r="J46" s="1">
        <v>32073</v>
      </c>
      <c r="K46" s="309">
        <v>9012</v>
      </c>
      <c r="L46" s="309">
        <v>28903</v>
      </c>
      <c r="M46" s="368">
        <f t="shared" si="1"/>
        <v>8.3974346762429242E-5</v>
      </c>
      <c r="O46" s="1">
        <v>13397</v>
      </c>
      <c r="P46" s="309">
        <v>11298</v>
      </c>
      <c r="Q46" s="309">
        <v>15136</v>
      </c>
      <c r="R46" s="368">
        <f t="shared" si="2"/>
        <v>4.5416042908702877E-5</v>
      </c>
      <c r="U46" s="642"/>
      <c r="V46" s="309"/>
      <c r="W46" s="371" t="s">
        <v>27</v>
      </c>
      <c r="X46" s="372">
        <f t="shared" si="23"/>
        <v>307.29721277740572</v>
      </c>
      <c r="Y46" s="372">
        <f t="shared" si="24"/>
        <v>302.83662893641497</v>
      </c>
      <c r="Z46" s="78">
        <f t="shared" si="25"/>
        <v>296.86168178019324</v>
      </c>
      <c r="AA46" s="78">
        <f t="shared" si="26"/>
        <v>302.33184116467129</v>
      </c>
      <c r="AB46" s="309"/>
      <c r="AC46" s="378"/>
      <c r="AD46" s="371" t="s">
        <v>27</v>
      </c>
      <c r="AE46" s="372">
        <f t="shared" si="34"/>
        <v>1029.445662804309</v>
      </c>
      <c r="AF46" s="372">
        <f t="shared" si="27"/>
        <v>1014.5027069369902</v>
      </c>
      <c r="AG46" s="78">
        <f t="shared" si="28"/>
        <v>994.48663396364736</v>
      </c>
      <c r="AH46" s="78">
        <f t="shared" si="29"/>
        <v>1012.8116679016489</v>
      </c>
      <c r="AI46" s="379"/>
      <c r="AJ46" s="378"/>
      <c r="AK46" s="371" t="s">
        <v>27</v>
      </c>
      <c r="AL46" s="372">
        <f t="shared" si="30"/>
        <v>116.77294085541418</v>
      </c>
      <c r="AM46" s="372">
        <f t="shared" si="31"/>
        <v>115.07791899583769</v>
      </c>
      <c r="AN46" s="78">
        <f t="shared" si="32"/>
        <v>112.80743907647343</v>
      </c>
      <c r="AO46" s="78">
        <f t="shared" si="33"/>
        <v>114.8860996425751</v>
      </c>
      <c r="AP46" s="380"/>
    </row>
    <row r="47" spans="2:42" ht="13.5" customHeight="1" x14ac:dyDescent="0.3">
      <c r="B47" s="54" t="s">
        <v>0</v>
      </c>
      <c r="C47" s="54" t="s">
        <v>1470</v>
      </c>
      <c r="E47" s="1">
        <v>453470</v>
      </c>
      <c r="F47" s="309">
        <v>806261</v>
      </c>
      <c r="G47" s="309">
        <v>36561497</v>
      </c>
      <c r="H47" s="368">
        <f t="shared" si="0"/>
        <v>2.0206684284607989E-2</v>
      </c>
      <c r="J47" s="1">
        <v>442958</v>
      </c>
      <c r="K47" s="309">
        <v>756434</v>
      </c>
      <c r="L47" s="309">
        <v>33506830</v>
      </c>
      <c r="M47" s="368">
        <f t="shared" si="1"/>
        <v>1.7594901704569718E-2</v>
      </c>
      <c r="O47" s="1">
        <v>433154</v>
      </c>
      <c r="P47" s="309">
        <v>748356</v>
      </c>
      <c r="Q47" s="309">
        <v>32415352</v>
      </c>
      <c r="R47" s="368">
        <f t="shared" si="2"/>
        <v>1.6834910331562387E-2</v>
      </c>
      <c r="U47" s="642"/>
      <c r="V47" s="309"/>
      <c r="W47" s="371" t="s">
        <v>28</v>
      </c>
      <c r="X47" s="372">
        <f t="shared" si="23"/>
        <v>1417.5889321080335</v>
      </c>
      <c r="Y47" s="372">
        <f t="shared" si="24"/>
        <v>1428.4799660781262</v>
      </c>
      <c r="Z47" s="78">
        <f t="shared" si="25"/>
        <v>1445.8540107696513</v>
      </c>
      <c r="AA47" s="78">
        <f t="shared" si="26"/>
        <v>1430.6409696519368</v>
      </c>
      <c r="AB47" s="309"/>
      <c r="AC47" s="378"/>
      <c r="AD47" s="371" t="s">
        <v>28</v>
      </c>
      <c r="AE47" s="372">
        <f t="shared" si="34"/>
        <v>1545.1719359977567</v>
      </c>
      <c r="AF47" s="372">
        <f t="shared" si="27"/>
        <v>1557.0431630251574</v>
      </c>
      <c r="AG47" s="78">
        <f t="shared" si="28"/>
        <v>1575.9808717389199</v>
      </c>
      <c r="AH47" s="78">
        <f t="shared" si="29"/>
        <v>1559.3986569206111</v>
      </c>
      <c r="AI47" s="379"/>
      <c r="AJ47" s="378"/>
      <c r="AK47" s="371" t="s">
        <v>28</v>
      </c>
      <c r="AL47" s="372">
        <f t="shared" si="30"/>
        <v>12.758300388972302</v>
      </c>
      <c r="AM47" s="372">
        <f t="shared" si="31"/>
        <v>12.856319694703135</v>
      </c>
      <c r="AN47" s="78">
        <f t="shared" si="32"/>
        <v>13.01268609692686</v>
      </c>
      <c r="AO47" s="78">
        <f t="shared" si="33"/>
        <v>12.875768726867433</v>
      </c>
      <c r="AP47" s="380"/>
    </row>
    <row r="48" spans="2:42" x14ac:dyDescent="0.3">
      <c r="B48" s="54" t="s">
        <v>0</v>
      </c>
      <c r="C48" s="54" t="s">
        <v>26</v>
      </c>
      <c r="E48" s="1">
        <v>12191153</v>
      </c>
      <c r="F48" s="309">
        <v>26100</v>
      </c>
      <c r="G48" s="309">
        <v>31818744</v>
      </c>
      <c r="H48" s="368">
        <f t="shared" si="0"/>
        <v>4.1217707860459023E-2</v>
      </c>
      <c r="J48" s="1">
        <v>10919180</v>
      </c>
      <c r="K48" s="309">
        <v>19178</v>
      </c>
      <c r="L48" s="309">
        <v>20941134</v>
      </c>
      <c r="M48" s="368">
        <f t="shared" si="1"/>
        <v>2.8563836357100442E-2</v>
      </c>
      <c r="O48" s="1">
        <v>10402271</v>
      </c>
      <c r="P48" s="309">
        <v>16917</v>
      </c>
      <c r="Q48" s="309">
        <v>17597561</v>
      </c>
      <c r="R48" s="368">
        <f t="shared" si="2"/>
        <v>2.2990201134043542E-2</v>
      </c>
      <c r="U48" s="642"/>
      <c r="V48" s="309"/>
      <c r="W48" s="77" t="s">
        <v>1472</v>
      </c>
      <c r="X48" s="373">
        <f t="shared" si="23"/>
        <v>1700.4832552802332</v>
      </c>
      <c r="Y48" s="373">
        <f t="shared" si="24"/>
        <v>1668.4831927628654</v>
      </c>
      <c r="Z48" s="374">
        <f t="shared" si="25"/>
        <v>1664.0697195474611</v>
      </c>
      <c r="AA48" s="374">
        <f t="shared" si="26"/>
        <v>1677.6787225301866</v>
      </c>
      <c r="AB48" s="309"/>
      <c r="AC48" s="378"/>
      <c r="AD48" s="77" t="s">
        <v>1472</v>
      </c>
      <c r="AE48" s="373">
        <f t="shared" si="34"/>
        <v>2686.7635433427681</v>
      </c>
      <c r="AF48" s="373">
        <f t="shared" si="27"/>
        <v>2636.2034445653276</v>
      </c>
      <c r="AG48" s="374">
        <f t="shared" si="28"/>
        <v>2629.2301568849884</v>
      </c>
      <c r="AH48" s="374">
        <f t="shared" si="29"/>
        <v>2650.7323815976947</v>
      </c>
      <c r="AI48" s="379"/>
      <c r="AJ48" s="378"/>
      <c r="AK48" s="77" t="s">
        <v>1472</v>
      </c>
      <c r="AL48" s="373">
        <f t="shared" si="30"/>
        <v>5.1014497658406999</v>
      </c>
      <c r="AM48" s="373">
        <f t="shared" si="31"/>
        <v>5.0054495782885962</v>
      </c>
      <c r="AN48" s="374">
        <f t="shared" si="32"/>
        <v>4.9922091586423836</v>
      </c>
      <c r="AO48" s="374">
        <f t="shared" si="33"/>
        <v>5.0330361675905602</v>
      </c>
      <c r="AP48" s="380"/>
    </row>
    <row r="49" spans="2:42" x14ac:dyDescent="0.3">
      <c r="B49" s="54" t="s">
        <v>1481</v>
      </c>
      <c r="C49" s="54" t="s">
        <v>24</v>
      </c>
      <c r="E49" s="1">
        <v>209476</v>
      </c>
      <c r="F49" s="309">
        <v>99104</v>
      </c>
      <c r="G49" s="309">
        <v>2075983</v>
      </c>
      <c r="H49" s="368">
        <f t="shared" si="0"/>
        <v>1.8315162171921291E-3</v>
      </c>
      <c r="J49" s="1">
        <v>209900</v>
      </c>
      <c r="K49" s="309">
        <v>101493</v>
      </c>
      <c r="L49" s="309">
        <v>2130340</v>
      </c>
      <c r="M49" s="368">
        <f t="shared" si="1"/>
        <v>1.9008498535391593E-3</v>
      </c>
      <c r="O49" s="1">
        <v>220690</v>
      </c>
      <c r="P49" s="309">
        <v>104168</v>
      </c>
      <c r="Q49" s="309">
        <v>2298880</v>
      </c>
      <c r="R49" s="368">
        <f t="shared" si="2"/>
        <v>2.0066032739253638E-3</v>
      </c>
      <c r="U49" s="642"/>
      <c r="V49" s="309"/>
      <c r="W49" s="309"/>
      <c r="X49" s="309"/>
      <c r="Y49" s="309"/>
      <c r="Z49" s="309"/>
      <c r="AA49" s="309"/>
      <c r="AB49" s="309"/>
      <c r="AC49" s="378"/>
      <c r="AD49" s="309"/>
      <c r="AE49" s="309"/>
      <c r="AF49" s="309"/>
      <c r="AG49" s="309"/>
      <c r="AH49" s="309"/>
      <c r="AI49" s="380"/>
      <c r="AJ49" s="378"/>
      <c r="AK49" s="309"/>
      <c r="AL49" s="309"/>
      <c r="AM49" s="309"/>
      <c r="AN49" s="309"/>
      <c r="AO49" s="309"/>
      <c r="AP49" s="380"/>
    </row>
    <row r="50" spans="2:42" ht="15" thickBot="1" x14ac:dyDescent="0.35">
      <c r="B50" s="54" t="s">
        <v>1481</v>
      </c>
      <c r="C50" s="54" t="s">
        <v>25</v>
      </c>
      <c r="E50" s="1">
        <v>22991</v>
      </c>
      <c r="F50" s="309">
        <v>284198</v>
      </c>
      <c r="G50" s="309">
        <v>653400</v>
      </c>
      <c r="H50" s="368">
        <f t="shared" si="0"/>
        <v>1.7682712848139269E-3</v>
      </c>
      <c r="J50" s="1">
        <v>23760</v>
      </c>
      <c r="K50" s="309">
        <v>293742</v>
      </c>
      <c r="L50" s="309">
        <v>697930</v>
      </c>
      <c r="M50" s="368">
        <f t="shared" si="1"/>
        <v>1.9138038727714659E-3</v>
      </c>
      <c r="O50" s="1">
        <v>23970</v>
      </c>
      <c r="P50" s="309">
        <v>313417</v>
      </c>
      <c r="Q50" s="309">
        <v>751260</v>
      </c>
      <c r="R50" s="368">
        <f t="shared" si="2"/>
        <v>2.0314383073458753E-3</v>
      </c>
      <c r="U50" s="643"/>
      <c r="V50" s="381"/>
      <c r="W50" s="381"/>
      <c r="X50" s="381"/>
      <c r="Y50" s="386"/>
      <c r="Z50" s="381"/>
      <c r="AA50" s="381"/>
      <c r="AB50" s="381"/>
      <c r="AC50" s="382"/>
      <c r="AD50" s="381"/>
      <c r="AE50" s="381"/>
      <c r="AF50" s="381"/>
      <c r="AG50" s="381"/>
      <c r="AH50" s="381"/>
      <c r="AI50" s="383"/>
      <c r="AJ50" s="382"/>
      <c r="AK50" s="381"/>
      <c r="AL50" s="381"/>
      <c r="AM50" s="381"/>
      <c r="AN50" s="381"/>
      <c r="AO50" s="381"/>
      <c r="AP50" s="383"/>
    </row>
    <row r="51" spans="2:42" x14ac:dyDescent="0.3">
      <c r="B51" s="54" t="s">
        <v>1481</v>
      </c>
      <c r="C51" s="54" t="s">
        <v>27</v>
      </c>
      <c r="E51" s="1">
        <v>64467</v>
      </c>
      <c r="F51" s="309">
        <v>30002</v>
      </c>
      <c r="G51" s="309">
        <v>193416</v>
      </c>
      <c r="H51" s="368">
        <f t="shared" si="0"/>
        <v>5.386992790401855E-4</v>
      </c>
      <c r="J51" s="1">
        <v>67620</v>
      </c>
      <c r="K51" s="309">
        <v>27579</v>
      </c>
      <c r="L51" s="309">
        <v>186490</v>
      </c>
      <c r="M51" s="368">
        <f t="shared" si="1"/>
        <v>5.4182527515224822E-4</v>
      </c>
      <c r="O51" s="1">
        <v>69210</v>
      </c>
      <c r="P51" s="309">
        <v>31467</v>
      </c>
      <c r="Q51" s="309">
        <v>217780</v>
      </c>
      <c r="R51" s="368">
        <f t="shared" si="2"/>
        <v>6.5345572308782448E-4</v>
      </c>
    </row>
    <row r="52" spans="2:42" x14ac:dyDescent="0.3">
      <c r="B52" s="54" t="s">
        <v>1481</v>
      </c>
      <c r="C52" s="54" t="s">
        <v>1469</v>
      </c>
      <c r="E52" s="1">
        <v>42684</v>
      </c>
      <c r="F52" s="309">
        <v>701366</v>
      </c>
      <c r="G52" s="309">
        <v>2993710</v>
      </c>
      <c r="H52" s="368">
        <f t="shared" si="0"/>
        <v>9.5344300824522742E-3</v>
      </c>
      <c r="J52" s="1">
        <v>31250</v>
      </c>
      <c r="K52" s="309">
        <v>688061</v>
      </c>
      <c r="L52" s="309">
        <v>2150190</v>
      </c>
      <c r="M52" s="368">
        <f t="shared" si="1"/>
        <v>7.8556728983428057E-3</v>
      </c>
      <c r="O52" s="1">
        <v>27880</v>
      </c>
      <c r="P52" s="309">
        <v>704860</v>
      </c>
      <c r="Q52" s="309">
        <v>1965150</v>
      </c>
      <c r="R52" s="368">
        <f t="shared" si="2"/>
        <v>7.0562450758170671E-3</v>
      </c>
    </row>
    <row r="53" spans="2:42" x14ac:dyDescent="0.3">
      <c r="B53" s="54" t="s">
        <v>1481</v>
      </c>
      <c r="C53" s="54" t="s">
        <v>26</v>
      </c>
      <c r="E53" s="1">
        <v>295029</v>
      </c>
      <c r="F53" s="309">
        <v>48712</v>
      </c>
      <c r="G53" s="309">
        <v>1437143</v>
      </c>
      <c r="H53" s="368">
        <f t="shared" si="0"/>
        <v>1.8616618031089996E-3</v>
      </c>
      <c r="J53" s="1">
        <v>294290</v>
      </c>
      <c r="K53" s="309">
        <v>46453</v>
      </c>
      <c r="L53" s="309">
        <v>1367060</v>
      </c>
      <c r="M53" s="368">
        <f t="shared" si="1"/>
        <v>1.8646782991951502E-3</v>
      </c>
      <c r="O53" s="1">
        <v>278340</v>
      </c>
      <c r="P53" s="309">
        <v>57372</v>
      </c>
      <c r="Q53" s="309">
        <v>1596880</v>
      </c>
      <c r="R53" s="368">
        <f t="shared" si="2"/>
        <v>2.0862318583201077E-3</v>
      </c>
    </row>
    <row r="54" spans="2:42" x14ac:dyDescent="0.3">
      <c r="B54" s="54" t="s">
        <v>1482</v>
      </c>
      <c r="C54" s="54" t="s">
        <v>24</v>
      </c>
      <c r="E54" s="1">
        <v>35666</v>
      </c>
      <c r="F54" s="309">
        <v>66077</v>
      </c>
      <c r="G54" s="309">
        <v>235669</v>
      </c>
      <c r="H54" s="368">
        <f t="shared" si="0"/>
        <v>2.07916729274494E-4</v>
      </c>
      <c r="J54" s="1">
        <v>31715</v>
      </c>
      <c r="K54" s="309">
        <v>78177</v>
      </c>
      <c r="L54" s="309">
        <v>247939</v>
      </c>
      <c r="M54" s="368">
        <f t="shared" si="1"/>
        <v>2.2122985619039477E-4</v>
      </c>
      <c r="O54" s="1">
        <v>32760</v>
      </c>
      <c r="P54" s="309">
        <v>86560</v>
      </c>
      <c r="Q54" s="309">
        <v>283570</v>
      </c>
      <c r="R54" s="368">
        <f t="shared" si="2"/>
        <v>2.4751726509735845E-4</v>
      </c>
    </row>
    <row r="55" spans="2:42" x14ac:dyDescent="0.3">
      <c r="B55" s="54" t="s">
        <v>1482</v>
      </c>
      <c r="C55" s="54" t="s">
        <v>25</v>
      </c>
      <c r="E55" s="1">
        <v>58772</v>
      </c>
      <c r="F55" s="309">
        <v>155499</v>
      </c>
      <c r="G55" s="309">
        <v>913899</v>
      </c>
      <c r="H55" s="368">
        <f t="shared" si="0"/>
        <v>2.4732497075607021E-3</v>
      </c>
      <c r="J55" s="1">
        <v>59311</v>
      </c>
      <c r="K55" s="309">
        <v>151559</v>
      </c>
      <c r="L55" s="309">
        <v>898914</v>
      </c>
      <c r="M55" s="368">
        <f t="shared" si="1"/>
        <v>2.4649249845808169E-3</v>
      </c>
      <c r="O55" s="1">
        <v>56921</v>
      </c>
      <c r="P55" s="309">
        <v>176415</v>
      </c>
      <c r="Q55" s="309">
        <v>1004172</v>
      </c>
      <c r="R55" s="368">
        <f t="shared" si="2"/>
        <v>2.7153228815112243E-3</v>
      </c>
    </row>
    <row r="56" spans="2:42" x14ac:dyDescent="0.3">
      <c r="B56" s="54" t="s">
        <v>1482</v>
      </c>
      <c r="C56" s="54" t="s">
        <v>1468</v>
      </c>
      <c r="E56" s="1">
        <v>5103</v>
      </c>
      <c r="F56" s="309">
        <v>31189</v>
      </c>
      <c r="G56" s="309">
        <v>15916</v>
      </c>
      <c r="H56" s="368">
        <f t="shared" si="0"/>
        <v>2.2450805223181244E-5</v>
      </c>
      <c r="J56" s="1">
        <v>4034</v>
      </c>
      <c r="K56" s="309">
        <v>29685</v>
      </c>
      <c r="L56" s="309">
        <v>11975</v>
      </c>
      <c r="M56" s="368">
        <f t="shared" si="1"/>
        <v>1.6660915300154279E-5</v>
      </c>
      <c r="O56" s="1">
        <v>4009</v>
      </c>
      <c r="P56" s="309">
        <v>27613</v>
      </c>
      <c r="Q56" s="309">
        <v>11070</v>
      </c>
      <c r="R56" s="368">
        <f t="shared" si="2"/>
        <v>1.5547880511243299E-5</v>
      </c>
    </row>
    <row r="57" spans="2:42" x14ac:dyDescent="0.3">
      <c r="B57" s="54" t="s">
        <v>1482</v>
      </c>
      <c r="C57" s="54" t="s">
        <v>27</v>
      </c>
      <c r="E57" s="1">
        <v>48</v>
      </c>
      <c r="F57" s="309">
        <v>5833</v>
      </c>
      <c r="G57" s="309">
        <v>28</v>
      </c>
      <c r="H57" s="368">
        <f t="shared" si="0"/>
        <v>7.7985170891369869E-8</v>
      </c>
      <c r="J57" s="1">
        <v>48</v>
      </c>
      <c r="K57" s="309">
        <v>5833</v>
      </c>
      <c r="L57" s="309">
        <v>28</v>
      </c>
      <c r="M57" s="368">
        <f t="shared" si="1"/>
        <v>8.1350783979103163E-8</v>
      </c>
      <c r="O57" s="1">
        <v>48</v>
      </c>
      <c r="P57" s="309">
        <v>5833</v>
      </c>
      <c r="Q57" s="309">
        <v>28</v>
      </c>
      <c r="R57" s="368">
        <f t="shared" si="2"/>
        <v>8.4014878530898555E-8</v>
      </c>
    </row>
    <row r="58" spans="2:42" x14ac:dyDescent="0.3">
      <c r="B58" s="54" t="s">
        <v>1482</v>
      </c>
      <c r="C58" s="54" t="s">
        <v>1469</v>
      </c>
      <c r="E58" s="1">
        <v>13759</v>
      </c>
      <c r="F58" s="309">
        <v>298049</v>
      </c>
      <c r="G58" s="309">
        <v>410085</v>
      </c>
      <c r="H58" s="368">
        <f t="shared" si="0"/>
        <v>1.3060472658882926E-3</v>
      </c>
      <c r="J58" s="1">
        <v>8562</v>
      </c>
      <c r="K58" s="309">
        <v>323776</v>
      </c>
      <c r="L58" s="309">
        <v>277217</v>
      </c>
      <c r="M58" s="368">
        <f t="shared" si="1"/>
        <v>1.0128063444904392E-3</v>
      </c>
      <c r="O58" s="1">
        <v>7233</v>
      </c>
      <c r="P58" s="309">
        <v>302122</v>
      </c>
      <c r="Q58" s="309">
        <v>218525</v>
      </c>
      <c r="R58" s="368">
        <f t="shared" si="2"/>
        <v>7.8465560145175915E-4</v>
      </c>
    </row>
    <row r="59" spans="2:42" x14ac:dyDescent="0.3">
      <c r="B59" s="54" t="s">
        <v>1482</v>
      </c>
      <c r="C59" s="54" t="s">
        <v>26</v>
      </c>
      <c r="E59" s="1">
        <v>596075</v>
      </c>
      <c r="F59" s="309">
        <v>29687</v>
      </c>
      <c r="G59" s="309">
        <v>1769574</v>
      </c>
      <c r="H59" s="368">
        <f t="shared" si="0"/>
        <v>2.2922898581246298E-3</v>
      </c>
      <c r="J59" s="1">
        <v>677834</v>
      </c>
      <c r="K59" s="309">
        <v>29383</v>
      </c>
      <c r="L59" s="309">
        <v>1991683</v>
      </c>
      <c r="M59" s="368">
        <f t="shared" si="1"/>
        <v>2.7166679362836265E-3</v>
      </c>
      <c r="O59" s="1">
        <v>669993</v>
      </c>
      <c r="P59" s="309">
        <v>31555</v>
      </c>
      <c r="Q59" s="309">
        <v>2114139</v>
      </c>
      <c r="R59" s="368">
        <f t="shared" si="2"/>
        <v>2.7620009861210699E-3</v>
      </c>
      <c r="U59" s="411"/>
    </row>
    <row r="60" spans="2:42" ht="15" customHeight="1" x14ac:dyDescent="0.3">
      <c r="B60" s="54" t="s">
        <v>1483</v>
      </c>
      <c r="C60" s="54" t="s">
        <v>28</v>
      </c>
      <c r="E60" s="1">
        <v>15</v>
      </c>
      <c r="F60" s="309">
        <v>307333</v>
      </c>
      <c r="G60" s="309">
        <v>461</v>
      </c>
      <c r="H60" s="368">
        <f t="shared" si="0"/>
        <v>1.6302877791767918E-6</v>
      </c>
      <c r="J60" s="1">
        <v>10</v>
      </c>
      <c r="K60" s="309">
        <v>322000</v>
      </c>
      <c r="L60" s="309">
        <v>322</v>
      </c>
      <c r="M60" s="368">
        <f t="shared" si="1"/>
        <v>1.1076710052683688E-6</v>
      </c>
      <c r="O60" s="1">
        <v>6</v>
      </c>
      <c r="P60" s="309">
        <v>338333</v>
      </c>
      <c r="Q60" s="309">
        <v>203</v>
      </c>
      <c r="R60" s="368">
        <f t="shared" si="2"/>
        <v>6.7829822486781696E-7</v>
      </c>
      <c r="U60" s="493" t="s">
        <v>1634</v>
      </c>
    </row>
    <row r="61" spans="2:42" x14ac:dyDescent="0.3">
      <c r="B61" s="54" t="s">
        <v>1483</v>
      </c>
      <c r="C61" s="54" t="s">
        <v>24</v>
      </c>
      <c r="E61" s="1">
        <v>70</v>
      </c>
      <c r="F61" s="309">
        <v>90429</v>
      </c>
      <c r="G61" s="309">
        <v>633</v>
      </c>
      <c r="H61" s="368">
        <f t="shared" si="0"/>
        <v>5.5845821737587339E-7</v>
      </c>
      <c r="J61" s="1">
        <v>69</v>
      </c>
      <c r="K61" s="309">
        <v>94203</v>
      </c>
      <c r="L61" s="309">
        <v>650</v>
      </c>
      <c r="M61" s="368">
        <f t="shared" si="1"/>
        <v>5.7997897274634732E-7</v>
      </c>
      <c r="O61" s="1">
        <v>68</v>
      </c>
      <c r="P61" s="309">
        <v>97941</v>
      </c>
      <c r="Q61" s="309">
        <v>666</v>
      </c>
      <c r="R61" s="368">
        <f t="shared" si="2"/>
        <v>5.8132559352132001E-7</v>
      </c>
      <c r="U61" s="411" t="s">
        <v>1931</v>
      </c>
    </row>
    <row r="62" spans="2:42" x14ac:dyDescent="0.3">
      <c r="B62" s="54" t="s">
        <v>1483</v>
      </c>
      <c r="C62" s="54" t="s">
        <v>25</v>
      </c>
      <c r="E62" s="1">
        <v>0</v>
      </c>
      <c r="F62" s="309"/>
      <c r="G62" s="309">
        <v>0</v>
      </c>
      <c r="H62" s="368">
        <f t="shared" si="0"/>
        <v>0</v>
      </c>
      <c r="J62" s="1">
        <v>0</v>
      </c>
      <c r="K62" s="309"/>
      <c r="L62" s="309">
        <v>0</v>
      </c>
      <c r="M62" s="368">
        <f t="shared" si="1"/>
        <v>0</v>
      </c>
      <c r="O62" s="1">
        <v>0</v>
      </c>
      <c r="P62" s="309"/>
      <c r="Q62" s="309">
        <v>0</v>
      </c>
      <c r="R62" s="368">
        <f t="shared" si="2"/>
        <v>0</v>
      </c>
      <c r="U62" s="411" t="s">
        <v>1932</v>
      </c>
    </row>
    <row r="63" spans="2:42" x14ac:dyDescent="0.3">
      <c r="B63" s="54" t="s">
        <v>1483</v>
      </c>
      <c r="C63" s="54" t="s">
        <v>1470</v>
      </c>
      <c r="E63" s="1">
        <v>2429</v>
      </c>
      <c r="F63" s="309">
        <v>248831</v>
      </c>
      <c r="G63" s="309">
        <v>60441</v>
      </c>
      <c r="H63" s="368">
        <f t="shared" si="0"/>
        <v>3.3404327094319784E-5</v>
      </c>
      <c r="J63" s="1">
        <v>2447</v>
      </c>
      <c r="K63" s="309">
        <v>248917</v>
      </c>
      <c r="L63" s="309">
        <v>60910</v>
      </c>
      <c r="M63" s="368">
        <f t="shared" si="1"/>
        <v>3.1984686788494806E-5</v>
      </c>
      <c r="O63" s="1">
        <v>2465</v>
      </c>
      <c r="P63" s="309">
        <v>249002</v>
      </c>
      <c r="Q63" s="309">
        <v>61379</v>
      </c>
      <c r="R63" s="368">
        <f t="shared" si="2"/>
        <v>3.1877178481386463E-5</v>
      </c>
      <c r="U63" s="494" t="s">
        <v>1933</v>
      </c>
    </row>
    <row r="64" spans="2:42" x14ac:dyDescent="0.3">
      <c r="B64" s="54" t="s">
        <v>1484</v>
      </c>
      <c r="C64" s="54" t="s">
        <v>25</v>
      </c>
      <c r="E64" s="1">
        <v>2</v>
      </c>
      <c r="F64" s="309">
        <v>375000</v>
      </c>
      <c r="G64" s="309">
        <v>75</v>
      </c>
      <c r="H64" s="368">
        <f t="shared" si="0"/>
        <v>2.0296961487763164E-7</v>
      </c>
      <c r="J64" s="1">
        <v>2</v>
      </c>
      <c r="K64" s="309">
        <v>425000</v>
      </c>
      <c r="L64" s="309">
        <v>85</v>
      </c>
      <c r="M64" s="368">
        <f t="shared" si="1"/>
        <v>2.3307972029512214E-7</v>
      </c>
      <c r="O64" s="1">
        <v>1</v>
      </c>
      <c r="P64" s="309">
        <v>300000</v>
      </c>
      <c r="Q64" s="309">
        <v>30</v>
      </c>
      <c r="R64" s="368">
        <f t="shared" si="2"/>
        <v>8.1121248596193419E-8</v>
      </c>
      <c r="U64" s="411" t="s">
        <v>1934</v>
      </c>
    </row>
    <row r="65" spans="2:21" x14ac:dyDescent="0.3">
      <c r="B65" s="54" t="s">
        <v>1485</v>
      </c>
      <c r="C65" s="54" t="s">
        <v>24</v>
      </c>
      <c r="E65" s="1">
        <v>389878</v>
      </c>
      <c r="F65" s="309">
        <v>77598</v>
      </c>
      <c r="G65" s="309">
        <v>3025392</v>
      </c>
      <c r="H65" s="368">
        <f t="shared" si="0"/>
        <v>2.6691232593731885E-3</v>
      </c>
      <c r="J65" s="1">
        <v>400478</v>
      </c>
      <c r="K65" s="309">
        <v>82104</v>
      </c>
      <c r="L65" s="309">
        <v>3288102</v>
      </c>
      <c r="M65" s="368">
        <f t="shared" si="1"/>
        <v>2.9338923388387847E-3</v>
      </c>
      <c r="O65" s="1">
        <v>445099</v>
      </c>
      <c r="P65" s="309">
        <v>80192</v>
      </c>
      <c r="Q65" s="309">
        <v>3569321</v>
      </c>
      <c r="R65" s="368">
        <f t="shared" si="2"/>
        <v>3.1155219951848521E-3</v>
      </c>
      <c r="U65" s="494" t="s">
        <v>1935</v>
      </c>
    </row>
    <row r="66" spans="2:21" x14ac:dyDescent="0.3">
      <c r="B66" s="54" t="s">
        <v>1485</v>
      </c>
      <c r="C66" s="54" t="s">
        <v>25</v>
      </c>
      <c r="E66" s="1">
        <v>499725</v>
      </c>
      <c r="F66" s="309">
        <v>204432</v>
      </c>
      <c r="G66" s="309">
        <v>10215957</v>
      </c>
      <c r="H66" s="368">
        <f t="shared" si="0"/>
        <v>2.7647051438619268E-2</v>
      </c>
      <c r="J66" s="1">
        <v>477419</v>
      </c>
      <c r="K66" s="309">
        <v>204106</v>
      </c>
      <c r="L66" s="309">
        <v>9744412</v>
      </c>
      <c r="M66" s="368">
        <f t="shared" si="1"/>
        <v>2.6720292040005079E-2</v>
      </c>
      <c r="O66" s="1">
        <v>468395</v>
      </c>
      <c r="P66" s="309">
        <v>206131</v>
      </c>
      <c r="Q66" s="309">
        <v>9655082</v>
      </c>
      <c r="R66" s="368">
        <f t="shared" si="2"/>
        <v>2.6107743571287742E-2</v>
      </c>
      <c r="U66" s="411" t="s">
        <v>1936</v>
      </c>
    </row>
    <row r="67" spans="2:21" x14ac:dyDescent="0.3">
      <c r="B67" s="54" t="s">
        <v>1485</v>
      </c>
      <c r="C67" s="54" t="s">
        <v>1468</v>
      </c>
      <c r="E67" s="1">
        <v>11615000</v>
      </c>
      <c r="F67" s="309">
        <v>46619</v>
      </c>
      <c r="G67" s="309">
        <v>54148000</v>
      </c>
      <c r="H67" s="368">
        <f t="shared" ref="H67:H130" si="35">G67/(VLOOKUP($C67,$W$5:$Z$13,2,FALSE)*10^6)</f>
        <v>7.6380133276251455E-2</v>
      </c>
      <c r="J67" s="1">
        <v>11515000</v>
      </c>
      <c r="K67" s="309">
        <v>47257</v>
      </c>
      <c r="L67" s="309">
        <v>54416000</v>
      </c>
      <c r="M67" s="368">
        <f t="shared" ref="M67:M130" si="36">L67/(VLOOKUP($C67,$W$5:$Z$13,3,FALSE)*10^6)</f>
        <v>7.5709425216968287E-2</v>
      </c>
      <c r="O67" s="1">
        <v>11516553</v>
      </c>
      <c r="P67" s="309">
        <v>47398</v>
      </c>
      <c r="Q67" s="309">
        <v>54586344</v>
      </c>
      <c r="R67" s="368">
        <f t="shared" ref="R67:R130" si="37">Q67/(VLOOKUP($C67,$W$5:$Z$13,4,FALSE)*10^6)</f>
        <v>7.6666843184970426E-2</v>
      </c>
      <c r="U67" s="411" t="s">
        <v>1937</v>
      </c>
    </row>
    <row r="68" spans="2:21" x14ac:dyDescent="0.3">
      <c r="B68" s="54" t="s">
        <v>1485</v>
      </c>
      <c r="C68" s="54" t="s">
        <v>27</v>
      </c>
      <c r="E68" s="1">
        <v>62870</v>
      </c>
      <c r="F68" s="309">
        <v>15416</v>
      </c>
      <c r="G68" s="309">
        <v>96921</v>
      </c>
      <c r="H68" s="368">
        <f t="shared" si="35"/>
        <v>2.6994288385580209E-4</v>
      </c>
      <c r="J68" s="1">
        <v>59442</v>
      </c>
      <c r="K68" s="309">
        <v>16604</v>
      </c>
      <c r="L68" s="309">
        <v>98699</v>
      </c>
      <c r="M68" s="368">
        <f t="shared" si="36"/>
        <v>2.8675860814119655E-4</v>
      </c>
      <c r="O68" s="1">
        <v>62481</v>
      </c>
      <c r="P68" s="309">
        <v>17731</v>
      </c>
      <c r="Q68" s="309">
        <v>110785</v>
      </c>
      <c r="R68" s="368">
        <f t="shared" si="37"/>
        <v>3.3241386850162841E-4</v>
      </c>
      <c r="U68" s="494" t="s">
        <v>1938</v>
      </c>
    </row>
    <row r="69" spans="2:21" x14ac:dyDescent="0.3">
      <c r="B69" s="54" t="s">
        <v>1485</v>
      </c>
      <c r="C69" s="54" t="s">
        <v>1470</v>
      </c>
      <c r="E69" s="1">
        <v>92060</v>
      </c>
      <c r="F69" s="309">
        <v>419593</v>
      </c>
      <c r="G69" s="309">
        <v>3862775</v>
      </c>
      <c r="H69" s="368">
        <f t="shared" si="35"/>
        <v>2.1348653991787214E-3</v>
      </c>
      <c r="J69" s="1">
        <v>90156</v>
      </c>
      <c r="K69" s="309">
        <v>403604</v>
      </c>
      <c r="L69" s="309">
        <v>3638731</v>
      </c>
      <c r="M69" s="368">
        <f t="shared" si="36"/>
        <v>1.9107481750547774E-3</v>
      </c>
      <c r="O69" s="1">
        <v>81062</v>
      </c>
      <c r="P69" s="309">
        <v>387595</v>
      </c>
      <c r="Q69" s="309">
        <v>3141923</v>
      </c>
      <c r="R69" s="368">
        <f t="shared" si="37"/>
        <v>1.6317574454744002E-3</v>
      </c>
      <c r="U69" s="495" t="s">
        <v>1939</v>
      </c>
    </row>
    <row r="70" spans="2:21" x14ac:dyDescent="0.3">
      <c r="B70" s="54" t="s">
        <v>1485</v>
      </c>
      <c r="C70" s="54" t="s">
        <v>26</v>
      </c>
      <c r="E70" s="1">
        <v>415339</v>
      </c>
      <c r="F70" s="309">
        <v>31576</v>
      </c>
      <c r="G70" s="309">
        <v>1311473</v>
      </c>
      <c r="H70" s="368">
        <f t="shared" si="35"/>
        <v>1.6988700427923798E-3</v>
      </c>
      <c r="J70" s="1">
        <v>351213</v>
      </c>
      <c r="K70" s="309">
        <v>31302</v>
      </c>
      <c r="L70" s="309">
        <v>1099373</v>
      </c>
      <c r="M70" s="368">
        <f t="shared" si="36"/>
        <v>1.4995515747816992E-3</v>
      </c>
      <c r="O70" s="1">
        <v>330348</v>
      </c>
      <c r="P70" s="309">
        <v>30780</v>
      </c>
      <c r="Q70" s="309">
        <v>1016811</v>
      </c>
      <c r="R70" s="368">
        <f t="shared" si="37"/>
        <v>1.3284050787099387E-3</v>
      </c>
      <c r="U70" s="495" t="s">
        <v>1940</v>
      </c>
    </row>
    <row r="71" spans="2:21" x14ac:dyDescent="0.3">
      <c r="B71" s="54" t="s">
        <v>1486</v>
      </c>
      <c r="C71" s="54" t="s">
        <v>28</v>
      </c>
      <c r="E71" s="1">
        <v>24</v>
      </c>
      <c r="F71" s="309">
        <v>199583</v>
      </c>
      <c r="G71" s="309">
        <v>479</v>
      </c>
      <c r="H71" s="368">
        <f t="shared" si="35"/>
        <v>1.6939432673008313E-6</v>
      </c>
      <c r="J71" s="1">
        <v>34</v>
      </c>
      <c r="K71" s="309">
        <v>197941</v>
      </c>
      <c r="L71" s="309">
        <v>673</v>
      </c>
      <c r="M71" s="368">
        <f t="shared" si="36"/>
        <v>2.315101200452212E-6</v>
      </c>
      <c r="O71" s="1">
        <v>25</v>
      </c>
      <c r="P71" s="309">
        <v>194400</v>
      </c>
      <c r="Q71" s="309">
        <v>486</v>
      </c>
      <c r="R71" s="368">
        <f t="shared" si="37"/>
        <v>1.6239060950037392E-6</v>
      </c>
      <c r="U71" s="495"/>
    </row>
    <row r="72" spans="2:21" x14ac:dyDescent="0.3">
      <c r="B72" s="54" t="s">
        <v>1486</v>
      </c>
      <c r="C72" s="54" t="s">
        <v>24</v>
      </c>
      <c r="E72" s="1">
        <v>26</v>
      </c>
      <c r="F72" s="309">
        <v>28462</v>
      </c>
      <c r="G72" s="309">
        <v>74</v>
      </c>
      <c r="H72" s="368">
        <f t="shared" si="35"/>
        <v>6.5285794764320114E-8</v>
      </c>
      <c r="J72" s="1">
        <v>38</v>
      </c>
      <c r="K72" s="309">
        <v>28684</v>
      </c>
      <c r="L72" s="309">
        <v>109</v>
      </c>
      <c r="M72" s="368">
        <f t="shared" si="36"/>
        <v>9.7258012352849005E-8</v>
      </c>
      <c r="O72" s="1">
        <v>15</v>
      </c>
      <c r="P72" s="309">
        <v>28000</v>
      </c>
      <c r="Q72" s="309">
        <v>42</v>
      </c>
      <c r="R72" s="368">
        <f t="shared" si="37"/>
        <v>3.6660172564407567E-8</v>
      </c>
      <c r="U72" s="411"/>
    </row>
    <row r="73" spans="2:21" x14ac:dyDescent="0.3">
      <c r="B73" s="54" t="s">
        <v>1486</v>
      </c>
      <c r="C73" s="54" t="s">
        <v>1470</v>
      </c>
      <c r="E73" s="1">
        <v>2756</v>
      </c>
      <c r="F73" s="309">
        <v>476030</v>
      </c>
      <c r="G73" s="309">
        <v>131194</v>
      </c>
      <c r="H73" s="368">
        <f t="shared" si="35"/>
        <v>7.250785540960921E-5</v>
      </c>
      <c r="J73" s="1">
        <v>2885</v>
      </c>
      <c r="K73" s="309">
        <v>508946</v>
      </c>
      <c r="L73" s="309">
        <v>146831</v>
      </c>
      <c r="M73" s="368">
        <f t="shared" si="36"/>
        <v>7.7102996976547049E-5</v>
      </c>
      <c r="O73" s="1">
        <v>2952</v>
      </c>
      <c r="P73" s="309">
        <v>286548</v>
      </c>
      <c r="Q73" s="309">
        <v>84589</v>
      </c>
      <c r="R73" s="368">
        <f t="shared" si="37"/>
        <v>4.393129002691474E-5</v>
      </c>
    </row>
    <row r="74" spans="2:21" x14ac:dyDescent="0.3">
      <c r="B74" s="54" t="s">
        <v>1487</v>
      </c>
      <c r="C74" s="54" t="s">
        <v>24</v>
      </c>
      <c r="E74" s="1">
        <v>130387</v>
      </c>
      <c r="F74" s="309">
        <v>53244</v>
      </c>
      <c r="G74" s="309">
        <v>694238</v>
      </c>
      <c r="H74" s="368">
        <f t="shared" si="35"/>
        <v>6.124848592647576E-4</v>
      </c>
      <c r="J74" s="1">
        <v>174541</v>
      </c>
      <c r="K74" s="309">
        <v>65191</v>
      </c>
      <c r="L74" s="309">
        <v>1137845</v>
      </c>
      <c r="M74" s="368">
        <f t="shared" si="36"/>
        <v>1.0152710372993347E-3</v>
      </c>
      <c r="O74" s="1">
        <v>190159</v>
      </c>
      <c r="P74" s="309">
        <v>57498</v>
      </c>
      <c r="Q74" s="309">
        <v>1093369</v>
      </c>
      <c r="R74" s="368">
        <f t="shared" si="37"/>
        <v>9.5435943372794625E-4</v>
      </c>
    </row>
    <row r="75" spans="2:21" x14ac:dyDescent="0.3">
      <c r="B75" s="54" t="s">
        <v>1487</v>
      </c>
      <c r="C75" s="54" t="s">
        <v>25</v>
      </c>
      <c r="E75" s="1">
        <v>275997</v>
      </c>
      <c r="F75" s="309">
        <v>232421</v>
      </c>
      <c r="G75" s="309">
        <v>6414755</v>
      </c>
      <c r="H75" s="368">
        <f t="shared" si="35"/>
        <v>1.7360004691791494E-2</v>
      </c>
      <c r="J75" s="1">
        <v>271772</v>
      </c>
      <c r="K75" s="309">
        <v>215781</v>
      </c>
      <c r="L75" s="309">
        <v>5864325</v>
      </c>
      <c r="M75" s="368">
        <f t="shared" si="36"/>
        <v>1.6080649773172848E-2</v>
      </c>
      <c r="O75" s="1">
        <v>266624</v>
      </c>
      <c r="P75" s="309">
        <v>228985</v>
      </c>
      <c r="Q75" s="309">
        <v>6105294</v>
      </c>
      <c r="R75" s="368">
        <f t="shared" si="37"/>
        <v>1.6508969077561601E-2</v>
      </c>
    </row>
    <row r="76" spans="2:21" x14ac:dyDescent="0.3">
      <c r="B76" s="54" t="s">
        <v>1487</v>
      </c>
      <c r="C76" s="54" t="s">
        <v>1469</v>
      </c>
      <c r="E76" s="1">
        <v>99865</v>
      </c>
      <c r="F76" s="309">
        <v>499608</v>
      </c>
      <c r="G76" s="309">
        <v>4989334</v>
      </c>
      <c r="H76" s="368">
        <f t="shared" si="35"/>
        <v>1.5890135043475129E-2</v>
      </c>
      <c r="J76" s="1">
        <v>100878</v>
      </c>
      <c r="K76" s="309">
        <v>476757</v>
      </c>
      <c r="L76" s="309">
        <v>4809430</v>
      </c>
      <c r="M76" s="368">
        <f t="shared" si="36"/>
        <v>1.7571149018215524E-2</v>
      </c>
      <c r="O76" s="1">
        <v>94989</v>
      </c>
      <c r="P76" s="309">
        <v>518726</v>
      </c>
      <c r="Q76" s="309">
        <v>4927331</v>
      </c>
      <c r="R76" s="368">
        <f t="shared" si="37"/>
        <v>1.7692519708760544E-2</v>
      </c>
    </row>
    <row r="77" spans="2:21" x14ac:dyDescent="0.3">
      <c r="B77" s="54" t="s">
        <v>1487</v>
      </c>
      <c r="C77" s="54" t="s">
        <v>26</v>
      </c>
      <c r="E77" s="1">
        <v>717081</v>
      </c>
      <c r="F77" s="309">
        <v>36540</v>
      </c>
      <c r="G77" s="309">
        <v>2620230</v>
      </c>
      <c r="H77" s="368">
        <f t="shared" si="35"/>
        <v>3.3942218042047967E-3</v>
      </c>
      <c r="J77" s="1">
        <v>660001</v>
      </c>
      <c r="K77" s="309">
        <v>27496</v>
      </c>
      <c r="L77" s="309">
        <v>1814765</v>
      </c>
      <c r="M77" s="368">
        <f t="shared" si="36"/>
        <v>2.4753506895373186E-3</v>
      </c>
      <c r="O77" s="1">
        <v>694004</v>
      </c>
      <c r="P77" s="309">
        <v>33268</v>
      </c>
      <c r="Q77" s="309">
        <v>2308840</v>
      </c>
      <c r="R77" s="368">
        <f t="shared" si="37"/>
        <v>3.0163666423048676E-3</v>
      </c>
    </row>
    <row r="78" spans="2:21" x14ac:dyDescent="0.3">
      <c r="B78" s="54" t="s">
        <v>1488</v>
      </c>
      <c r="C78" s="54" t="s">
        <v>24</v>
      </c>
      <c r="E78" s="1">
        <v>49005</v>
      </c>
      <c r="F78" s="309">
        <v>124206</v>
      </c>
      <c r="G78" s="309">
        <v>608671</v>
      </c>
      <c r="H78" s="368">
        <f t="shared" si="35"/>
        <v>5.3699418898639842E-4</v>
      </c>
      <c r="J78" s="1">
        <v>53990</v>
      </c>
      <c r="K78" s="309">
        <v>69744</v>
      </c>
      <c r="L78" s="309">
        <v>376550</v>
      </c>
      <c r="M78" s="368">
        <f t="shared" si="36"/>
        <v>3.359862802886724E-4</v>
      </c>
      <c r="O78" s="1">
        <v>48640</v>
      </c>
      <c r="P78" s="309">
        <v>88244</v>
      </c>
      <c r="Q78" s="309">
        <v>429220</v>
      </c>
      <c r="R78" s="368">
        <f t="shared" si="37"/>
        <v>3.7464950638321467E-4</v>
      </c>
    </row>
    <row r="79" spans="2:21" x14ac:dyDescent="0.3">
      <c r="B79" s="54" t="s">
        <v>1488</v>
      </c>
      <c r="C79" s="54" t="s">
        <v>25</v>
      </c>
      <c r="E79" s="1">
        <v>92855</v>
      </c>
      <c r="F79" s="309">
        <v>475652</v>
      </c>
      <c r="G79" s="309">
        <v>4416665</v>
      </c>
      <c r="H79" s="368">
        <f t="shared" si="35"/>
        <v>1.1952650587913533E-2</v>
      </c>
      <c r="J79" s="1">
        <v>93330</v>
      </c>
      <c r="K79" s="309">
        <v>326309</v>
      </c>
      <c r="L79" s="309">
        <v>3045440</v>
      </c>
      <c r="M79" s="368">
        <f t="shared" si="36"/>
        <v>8.3509447455950205E-3</v>
      </c>
      <c r="O79" s="1">
        <v>98190</v>
      </c>
      <c r="P79" s="309">
        <v>410186</v>
      </c>
      <c r="Q79" s="309">
        <v>4027620</v>
      </c>
      <c r="R79" s="368">
        <f t="shared" si="37"/>
        <v>1.0890852109033351E-2</v>
      </c>
    </row>
    <row r="80" spans="2:21" x14ac:dyDescent="0.3">
      <c r="B80" s="54" t="s">
        <v>1488</v>
      </c>
      <c r="C80" s="54" t="s">
        <v>1468</v>
      </c>
      <c r="E80" s="1"/>
      <c r="F80" s="309"/>
      <c r="G80" s="309"/>
      <c r="H80" s="368">
        <f t="shared" si="35"/>
        <v>0</v>
      </c>
      <c r="J80" s="1">
        <v>0</v>
      </c>
      <c r="K80" s="309"/>
      <c r="L80" s="309">
        <v>0</v>
      </c>
      <c r="M80" s="368">
        <f t="shared" si="36"/>
        <v>0</v>
      </c>
      <c r="O80" s="1">
        <v>0</v>
      </c>
      <c r="P80" s="309"/>
      <c r="Q80" s="309">
        <v>0</v>
      </c>
      <c r="R80" s="368">
        <f t="shared" si="37"/>
        <v>0</v>
      </c>
    </row>
    <row r="81" spans="2:18" x14ac:dyDescent="0.3">
      <c r="B81" s="54" t="s">
        <v>1488</v>
      </c>
      <c r="C81" s="54" t="s">
        <v>1469</v>
      </c>
      <c r="E81" s="1">
        <v>62470</v>
      </c>
      <c r="F81" s="309">
        <v>951142</v>
      </c>
      <c r="G81" s="309">
        <v>5941783</v>
      </c>
      <c r="H81" s="368">
        <f t="shared" si="35"/>
        <v>1.8923514494925534E-2</v>
      </c>
      <c r="J81" s="1">
        <v>62700</v>
      </c>
      <c r="K81" s="309">
        <v>828078</v>
      </c>
      <c r="L81" s="309">
        <v>5192050</v>
      </c>
      <c r="M81" s="368">
        <f t="shared" si="36"/>
        <v>1.8969042955199661E-2</v>
      </c>
      <c r="O81" s="1">
        <v>57610</v>
      </c>
      <c r="P81" s="309">
        <v>880377</v>
      </c>
      <c r="Q81" s="309">
        <v>5071850</v>
      </c>
      <c r="R81" s="368">
        <f t="shared" si="37"/>
        <v>1.8211442682636334E-2</v>
      </c>
    </row>
    <row r="82" spans="2:18" x14ac:dyDescent="0.3">
      <c r="B82" s="54" t="s">
        <v>1488</v>
      </c>
      <c r="C82" s="54" t="s">
        <v>26</v>
      </c>
      <c r="E82" s="1">
        <v>197592</v>
      </c>
      <c r="F82" s="309">
        <v>86174</v>
      </c>
      <c r="G82" s="309">
        <v>1702721</v>
      </c>
      <c r="H82" s="368">
        <f t="shared" si="35"/>
        <v>2.2056890977804984E-3</v>
      </c>
      <c r="J82" s="1">
        <v>195690</v>
      </c>
      <c r="K82" s="309">
        <v>84923</v>
      </c>
      <c r="L82" s="309">
        <v>1661860</v>
      </c>
      <c r="M82" s="368">
        <f t="shared" si="36"/>
        <v>2.2667873233804311E-3</v>
      </c>
      <c r="O82" s="1">
        <v>203760</v>
      </c>
      <c r="P82" s="309">
        <v>93364</v>
      </c>
      <c r="Q82" s="309">
        <v>1902380</v>
      </c>
      <c r="R82" s="368">
        <f t="shared" si="37"/>
        <v>2.4853500342110904E-3</v>
      </c>
    </row>
    <row r="83" spans="2:18" x14ac:dyDescent="0.3">
      <c r="B83" s="54" t="s">
        <v>1489</v>
      </c>
      <c r="C83" s="54" t="s">
        <v>28</v>
      </c>
      <c r="E83" s="1">
        <v>46</v>
      </c>
      <c r="F83" s="309">
        <v>124565</v>
      </c>
      <c r="G83" s="309">
        <v>573</v>
      </c>
      <c r="H83" s="368">
        <f t="shared" si="35"/>
        <v>2.0263663719485938E-6</v>
      </c>
      <c r="J83" s="1">
        <v>59</v>
      </c>
      <c r="K83" s="309">
        <v>117627</v>
      </c>
      <c r="L83" s="309">
        <v>694</v>
      </c>
      <c r="M83" s="368">
        <f t="shared" si="36"/>
        <v>2.3873406138392795E-6</v>
      </c>
      <c r="O83" s="1">
        <v>45</v>
      </c>
      <c r="P83" s="309">
        <v>161111</v>
      </c>
      <c r="Q83" s="309">
        <v>725</v>
      </c>
      <c r="R83" s="368">
        <f t="shared" si="37"/>
        <v>2.4224936602422035E-6</v>
      </c>
    </row>
    <row r="84" spans="2:18" x14ac:dyDescent="0.3">
      <c r="B84" s="54" t="s">
        <v>1489</v>
      </c>
      <c r="C84" s="54" t="s">
        <v>24</v>
      </c>
      <c r="E84" s="1">
        <v>19641</v>
      </c>
      <c r="F84" s="309">
        <v>45586</v>
      </c>
      <c r="G84" s="309">
        <v>89536</v>
      </c>
      <c r="H84" s="368">
        <f t="shared" si="35"/>
        <v>7.8992282702948188E-5</v>
      </c>
      <c r="J84" s="1">
        <v>18488</v>
      </c>
      <c r="K84" s="309">
        <v>42063</v>
      </c>
      <c r="L84" s="309">
        <v>77766</v>
      </c>
      <c r="M84" s="368">
        <f t="shared" si="36"/>
        <v>6.9388684299372992E-5</v>
      </c>
      <c r="O84" s="1">
        <v>21079</v>
      </c>
      <c r="P84" s="309">
        <v>27539</v>
      </c>
      <c r="Q84" s="309">
        <v>58049</v>
      </c>
      <c r="R84" s="368">
        <f t="shared" si="37"/>
        <v>5.0668722790268931E-5</v>
      </c>
    </row>
    <row r="85" spans="2:18" x14ac:dyDescent="0.3">
      <c r="B85" s="54" t="s">
        <v>1489</v>
      </c>
      <c r="C85" s="54" t="s">
        <v>25</v>
      </c>
      <c r="E85" s="1">
        <v>98</v>
      </c>
      <c r="F85" s="309">
        <v>133469</v>
      </c>
      <c r="G85" s="309">
        <v>1308</v>
      </c>
      <c r="H85" s="368">
        <f t="shared" si="35"/>
        <v>3.5397900834658958E-6</v>
      </c>
      <c r="J85" s="1">
        <v>128</v>
      </c>
      <c r="K85" s="309">
        <v>120313</v>
      </c>
      <c r="L85" s="309">
        <v>1540</v>
      </c>
      <c r="M85" s="368">
        <f t="shared" si="36"/>
        <v>4.2228561088763304E-6</v>
      </c>
      <c r="O85" s="1">
        <v>130</v>
      </c>
      <c r="P85" s="309">
        <v>121692</v>
      </c>
      <c r="Q85" s="309">
        <v>1582</v>
      </c>
      <c r="R85" s="368">
        <f t="shared" si="37"/>
        <v>4.2777938426392662E-6</v>
      </c>
    </row>
    <row r="86" spans="2:18" x14ac:dyDescent="0.3">
      <c r="B86" s="54" t="s">
        <v>1489</v>
      </c>
      <c r="C86" s="54" t="s">
        <v>1468</v>
      </c>
      <c r="E86" s="1">
        <v>3972</v>
      </c>
      <c r="F86" s="309">
        <v>47208</v>
      </c>
      <c r="G86" s="309">
        <v>18751</v>
      </c>
      <c r="H86" s="368">
        <f t="shared" si="35"/>
        <v>2.6449802006777552E-5</v>
      </c>
      <c r="J86" s="1">
        <v>2718</v>
      </c>
      <c r="K86" s="309">
        <v>49209</v>
      </c>
      <c r="L86" s="309">
        <v>13375</v>
      </c>
      <c r="M86" s="368">
        <f t="shared" si="36"/>
        <v>1.8608746733992775E-5</v>
      </c>
      <c r="O86" s="1">
        <v>2417</v>
      </c>
      <c r="P86" s="309">
        <v>57509</v>
      </c>
      <c r="Q86" s="309">
        <v>13900</v>
      </c>
      <c r="R86" s="368">
        <f t="shared" si="37"/>
        <v>1.9522632258923385E-5</v>
      </c>
    </row>
    <row r="87" spans="2:18" x14ac:dyDescent="0.3">
      <c r="B87" s="54" t="s">
        <v>1489</v>
      </c>
      <c r="C87" s="54" t="s">
        <v>27</v>
      </c>
      <c r="E87" s="1">
        <v>7122</v>
      </c>
      <c r="F87" s="309">
        <v>18305</v>
      </c>
      <c r="G87" s="309">
        <v>13037</v>
      </c>
      <c r="H87" s="368">
        <f t="shared" si="35"/>
        <v>3.6310452603956744E-5</v>
      </c>
      <c r="J87" s="1">
        <v>6401</v>
      </c>
      <c r="K87" s="309">
        <v>18397</v>
      </c>
      <c r="L87" s="309">
        <v>11776</v>
      </c>
      <c r="M87" s="368">
        <f t="shared" si="36"/>
        <v>3.4213815433497106E-5</v>
      </c>
      <c r="O87" s="1">
        <v>7079</v>
      </c>
      <c r="P87" s="309">
        <v>11045</v>
      </c>
      <c r="Q87" s="309">
        <v>7819</v>
      </c>
      <c r="R87" s="368">
        <f t="shared" si="37"/>
        <v>2.346115482975342E-5</v>
      </c>
    </row>
    <row r="88" spans="2:18" x14ac:dyDescent="0.3">
      <c r="B88" s="54" t="s">
        <v>1489</v>
      </c>
      <c r="C88" s="54" t="s">
        <v>1470</v>
      </c>
      <c r="E88" s="1">
        <v>37247</v>
      </c>
      <c r="F88" s="309">
        <v>448474</v>
      </c>
      <c r="G88" s="309">
        <v>1670432</v>
      </c>
      <c r="H88" s="368">
        <f t="shared" si="35"/>
        <v>9.2320869801655809E-4</v>
      </c>
      <c r="J88" s="1">
        <v>40157</v>
      </c>
      <c r="K88" s="309">
        <v>425215</v>
      </c>
      <c r="L88" s="309">
        <v>1707537</v>
      </c>
      <c r="M88" s="368">
        <f t="shared" si="36"/>
        <v>8.9665138934109435E-4</v>
      </c>
      <c r="O88" s="1">
        <v>40486</v>
      </c>
      <c r="P88" s="309">
        <v>443123</v>
      </c>
      <c r="Q88" s="309">
        <v>1794029</v>
      </c>
      <c r="R88" s="368">
        <f t="shared" si="37"/>
        <v>9.3172881007809309E-4</v>
      </c>
    </row>
    <row r="89" spans="2:18" x14ac:dyDescent="0.3">
      <c r="B89" s="54" t="s">
        <v>1490</v>
      </c>
      <c r="C89" s="54" t="s">
        <v>28</v>
      </c>
      <c r="E89" s="1">
        <v>306703</v>
      </c>
      <c r="F89" s="309">
        <v>129097</v>
      </c>
      <c r="G89" s="309">
        <v>3959450</v>
      </c>
      <c r="H89" s="368">
        <f t="shared" si="35"/>
        <v>1.400226235848492E-2</v>
      </c>
      <c r="J89" s="1">
        <v>280810</v>
      </c>
      <c r="K89" s="309">
        <v>136028</v>
      </c>
      <c r="L89" s="309">
        <v>3819804</v>
      </c>
      <c r="M89" s="368">
        <f t="shared" si="36"/>
        <v>1.3140019057789243E-2</v>
      </c>
      <c r="O89" s="1">
        <v>277264</v>
      </c>
      <c r="P89" s="309">
        <v>140472</v>
      </c>
      <c r="Q89" s="309">
        <v>3894777</v>
      </c>
      <c r="R89" s="368">
        <f t="shared" si="37"/>
        <v>1.3013893228354688E-2</v>
      </c>
    </row>
    <row r="90" spans="2:18" x14ac:dyDescent="0.3">
      <c r="B90" s="54" t="s">
        <v>1490</v>
      </c>
      <c r="C90" s="54" t="s">
        <v>24</v>
      </c>
      <c r="E90" s="1">
        <v>1100513</v>
      </c>
      <c r="F90" s="309">
        <v>13215</v>
      </c>
      <c r="G90" s="309">
        <v>1454284</v>
      </c>
      <c r="H90" s="368">
        <f t="shared" si="35"/>
        <v>1.2830281993653312E-3</v>
      </c>
      <c r="J90" s="1">
        <v>1157805</v>
      </c>
      <c r="K90" s="309">
        <v>13040</v>
      </c>
      <c r="L90" s="309">
        <v>1509758</v>
      </c>
      <c r="M90" s="368">
        <f t="shared" si="36"/>
        <v>1.347119836823969E-3</v>
      </c>
      <c r="O90" s="1">
        <v>1000000</v>
      </c>
      <c r="P90" s="309">
        <v>15000</v>
      </c>
      <c r="Q90" s="309">
        <v>1500000</v>
      </c>
      <c r="R90" s="368">
        <f t="shared" si="37"/>
        <v>1.3092918773002704E-3</v>
      </c>
    </row>
    <row r="91" spans="2:18" x14ac:dyDescent="0.3">
      <c r="B91" s="54" t="s">
        <v>1490</v>
      </c>
      <c r="C91" s="54" t="s">
        <v>1472</v>
      </c>
      <c r="E91" s="1">
        <v>37843</v>
      </c>
      <c r="F91" s="309">
        <v>176829</v>
      </c>
      <c r="G91" s="309">
        <v>669173</v>
      </c>
      <c r="H91" s="368">
        <f t="shared" si="35"/>
        <v>1.6716988656428518E-3</v>
      </c>
      <c r="J91" s="1">
        <v>38997</v>
      </c>
      <c r="K91" s="309">
        <v>179764</v>
      </c>
      <c r="L91" s="309">
        <v>701027</v>
      </c>
      <c r="M91" s="368">
        <f t="shared" si="36"/>
        <v>1.7370068541285913E-3</v>
      </c>
      <c r="O91" s="1">
        <v>40114</v>
      </c>
      <c r="P91" s="309">
        <v>182700</v>
      </c>
      <c r="Q91" s="309">
        <v>732882</v>
      </c>
      <c r="R91" s="368">
        <f t="shared" si="37"/>
        <v>1.7844847895682589E-3</v>
      </c>
    </row>
    <row r="92" spans="2:18" x14ac:dyDescent="0.3">
      <c r="B92" s="54" t="s">
        <v>1490</v>
      </c>
      <c r="C92" s="54" t="s">
        <v>25</v>
      </c>
      <c r="E92" s="1">
        <v>12</v>
      </c>
      <c r="F92" s="309">
        <v>103333</v>
      </c>
      <c r="G92" s="309">
        <v>124</v>
      </c>
      <c r="H92" s="368">
        <f t="shared" si="35"/>
        <v>3.3557642993101765E-7</v>
      </c>
      <c r="J92" s="1">
        <v>7</v>
      </c>
      <c r="K92" s="309">
        <v>85714</v>
      </c>
      <c r="L92" s="309">
        <v>60</v>
      </c>
      <c r="M92" s="368">
        <f t="shared" si="36"/>
        <v>1.6452686138479211E-7</v>
      </c>
      <c r="O92" s="1">
        <v>13</v>
      </c>
      <c r="P92" s="309">
        <v>100000</v>
      </c>
      <c r="Q92" s="309">
        <v>130</v>
      </c>
      <c r="R92" s="368">
        <f t="shared" si="37"/>
        <v>3.515254105835048E-7</v>
      </c>
    </row>
    <row r="93" spans="2:18" x14ac:dyDescent="0.3">
      <c r="B93" s="54" t="s">
        <v>1490</v>
      </c>
      <c r="C93" s="54" t="s">
        <v>1468</v>
      </c>
      <c r="E93" s="1">
        <v>78969</v>
      </c>
      <c r="F93" s="309">
        <v>35295</v>
      </c>
      <c r="G93" s="309">
        <v>278718</v>
      </c>
      <c r="H93" s="368">
        <f t="shared" si="35"/>
        <v>3.9315428061036881E-4</v>
      </c>
      <c r="J93" s="1">
        <v>135185</v>
      </c>
      <c r="K93" s="309">
        <v>33977</v>
      </c>
      <c r="L93" s="309">
        <v>459313</v>
      </c>
      <c r="M93" s="368">
        <f t="shared" si="36"/>
        <v>6.3904592812190082E-4</v>
      </c>
      <c r="O93" s="1">
        <v>113719</v>
      </c>
      <c r="P93" s="309">
        <v>35702</v>
      </c>
      <c r="Q93" s="309">
        <v>406000</v>
      </c>
      <c r="R93" s="368">
        <f t="shared" si="37"/>
        <v>5.7022940267071177E-4</v>
      </c>
    </row>
    <row r="94" spans="2:18" x14ac:dyDescent="0.3">
      <c r="B94" s="54" t="s">
        <v>1490</v>
      </c>
      <c r="C94" s="54" t="s">
        <v>27</v>
      </c>
      <c r="E94" s="1">
        <v>156555</v>
      </c>
      <c r="F94" s="309">
        <v>10524</v>
      </c>
      <c r="G94" s="309">
        <v>164761</v>
      </c>
      <c r="H94" s="368">
        <f t="shared" si="35"/>
        <v>4.5888981218689248E-4</v>
      </c>
      <c r="J94" s="1">
        <v>199844</v>
      </c>
      <c r="K94" s="309">
        <v>11108</v>
      </c>
      <c r="L94" s="309">
        <v>221977</v>
      </c>
      <c r="M94" s="368">
        <f t="shared" si="36"/>
        <v>6.4492867769033518E-4</v>
      </c>
      <c r="O94" s="1">
        <v>210000</v>
      </c>
      <c r="P94" s="309">
        <v>10952</v>
      </c>
      <c r="Q94" s="309">
        <v>230000</v>
      </c>
      <c r="R94" s="368">
        <f t="shared" si="37"/>
        <v>6.901222165038095E-4</v>
      </c>
    </row>
    <row r="95" spans="2:18" x14ac:dyDescent="0.3">
      <c r="B95" s="54" t="s">
        <v>1490</v>
      </c>
      <c r="C95" s="54" t="s">
        <v>1470</v>
      </c>
      <c r="E95" s="1">
        <v>562</v>
      </c>
      <c r="F95" s="309">
        <v>177936</v>
      </c>
      <c r="G95" s="309">
        <v>10000</v>
      </c>
      <c r="H95" s="368">
        <f t="shared" si="35"/>
        <v>5.5267661180853702E-6</v>
      </c>
      <c r="J95" s="1">
        <v>624</v>
      </c>
      <c r="K95" s="309">
        <v>160256</v>
      </c>
      <c r="L95" s="309">
        <v>10000</v>
      </c>
      <c r="M95" s="368">
        <f t="shared" si="36"/>
        <v>5.251138858725137E-6</v>
      </c>
      <c r="O95" s="1">
        <v>679</v>
      </c>
      <c r="P95" s="309">
        <v>147275</v>
      </c>
      <c r="Q95" s="309">
        <v>10000</v>
      </c>
      <c r="R95" s="368">
        <f t="shared" si="37"/>
        <v>5.1934991579182563E-6</v>
      </c>
    </row>
    <row r="96" spans="2:18" x14ac:dyDescent="0.3">
      <c r="B96" s="54" t="s">
        <v>1491</v>
      </c>
      <c r="C96" s="54" t="s">
        <v>24</v>
      </c>
      <c r="E96" s="1">
        <v>26738</v>
      </c>
      <c r="F96" s="309">
        <v>35175</v>
      </c>
      <c r="G96" s="309">
        <v>94052</v>
      </c>
      <c r="H96" s="368">
        <f t="shared" si="35"/>
        <v>8.2976480664511285E-5</v>
      </c>
      <c r="J96" s="1">
        <v>14907</v>
      </c>
      <c r="K96" s="309">
        <v>37066</v>
      </c>
      <c r="L96" s="309">
        <v>55254</v>
      </c>
      <c r="M96" s="368">
        <f t="shared" si="36"/>
        <v>4.9301781784810264E-5</v>
      </c>
      <c r="O96" s="1">
        <v>13146</v>
      </c>
      <c r="P96" s="309">
        <v>35170</v>
      </c>
      <c r="Q96" s="309">
        <v>46235</v>
      </c>
      <c r="R96" s="368">
        <f t="shared" si="37"/>
        <v>4.0356739964652003E-5</v>
      </c>
    </row>
    <row r="97" spans="2:18" x14ac:dyDescent="0.3">
      <c r="B97" s="54" t="s">
        <v>1491</v>
      </c>
      <c r="C97" s="54" t="s">
        <v>25</v>
      </c>
      <c r="E97" s="1">
        <v>5192</v>
      </c>
      <c r="F97" s="309">
        <v>110214</v>
      </c>
      <c r="G97" s="309">
        <v>57223</v>
      </c>
      <c r="H97" s="368">
        <f t="shared" si="35"/>
        <v>1.5486040362856952E-4</v>
      </c>
      <c r="J97" s="1">
        <v>4506</v>
      </c>
      <c r="K97" s="309">
        <v>98265</v>
      </c>
      <c r="L97" s="309">
        <v>44278</v>
      </c>
      <c r="M97" s="368">
        <f t="shared" si="36"/>
        <v>1.2141533947326374E-4</v>
      </c>
      <c r="O97" s="1">
        <v>4185</v>
      </c>
      <c r="P97" s="309">
        <v>104086</v>
      </c>
      <c r="Q97" s="309">
        <v>43560</v>
      </c>
      <c r="R97" s="368">
        <f t="shared" si="37"/>
        <v>1.1778805296167284E-4</v>
      </c>
    </row>
    <row r="98" spans="2:18" x14ac:dyDescent="0.3">
      <c r="B98" s="54" t="s">
        <v>1491</v>
      </c>
      <c r="C98" s="54" t="s">
        <v>1468</v>
      </c>
      <c r="E98" s="1">
        <v>21202</v>
      </c>
      <c r="F98" s="309">
        <v>40744</v>
      </c>
      <c r="G98" s="309">
        <v>86385</v>
      </c>
      <c r="H98" s="368">
        <f t="shared" si="35"/>
        <v>1.2185302897741342E-4</v>
      </c>
      <c r="J98" s="1">
        <v>15082</v>
      </c>
      <c r="K98" s="309">
        <v>42362</v>
      </c>
      <c r="L98" s="309">
        <v>63890</v>
      </c>
      <c r="M98" s="368">
        <f t="shared" si="36"/>
        <v>8.8890678791386785E-5</v>
      </c>
      <c r="O98" s="1">
        <v>12261</v>
      </c>
      <c r="P98" s="309">
        <v>40723</v>
      </c>
      <c r="Q98" s="309">
        <v>49930</v>
      </c>
      <c r="R98" s="368">
        <f t="shared" si="37"/>
        <v>7.0126980481154287E-5</v>
      </c>
    </row>
    <row r="99" spans="2:18" x14ac:dyDescent="0.3">
      <c r="B99" s="54" t="s">
        <v>1491</v>
      </c>
      <c r="C99" s="54" t="s">
        <v>27</v>
      </c>
      <c r="E99" s="1">
        <v>351</v>
      </c>
      <c r="F99" s="309">
        <v>5812</v>
      </c>
      <c r="G99" s="309">
        <v>204</v>
      </c>
      <c r="H99" s="368">
        <f t="shared" si="35"/>
        <v>5.6817767363712328E-7</v>
      </c>
      <c r="J99" s="1">
        <v>153</v>
      </c>
      <c r="K99" s="309">
        <v>6993</v>
      </c>
      <c r="L99" s="309">
        <v>107</v>
      </c>
      <c r="M99" s="368">
        <f t="shared" si="36"/>
        <v>3.1087621020585855E-7</v>
      </c>
      <c r="O99" s="1">
        <v>251</v>
      </c>
      <c r="P99" s="309">
        <v>6813</v>
      </c>
      <c r="Q99" s="309">
        <v>171</v>
      </c>
      <c r="R99" s="368">
        <f t="shared" si="37"/>
        <v>5.1309086531370184E-7</v>
      </c>
    </row>
    <row r="100" spans="2:18" x14ac:dyDescent="0.3">
      <c r="B100" s="54" t="s">
        <v>1491</v>
      </c>
      <c r="C100" s="54" t="s">
        <v>1470</v>
      </c>
      <c r="E100" s="1">
        <v>20</v>
      </c>
      <c r="F100" s="309">
        <v>319000</v>
      </c>
      <c r="G100" s="309">
        <v>638</v>
      </c>
      <c r="H100" s="368">
        <f t="shared" si="35"/>
        <v>3.5260767833384663E-7</v>
      </c>
      <c r="J100" s="1">
        <v>3</v>
      </c>
      <c r="K100" s="309">
        <v>336667</v>
      </c>
      <c r="L100" s="309">
        <v>101</v>
      </c>
      <c r="M100" s="368">
        <f t="shared" si="36"/>
        <v>5.3036502473123878E-8</v>
      </c>
      <c r="O100" s="1">
        <v>13</v>
      </c>
      <c r="P100" s="309">
        <v>304615</v>
      </c>
      <c r="Q100" s="309">
        <v>396</v>
      </c>
      <c r="R100" s="368">
        <f t="shared" si="37"/>
        <v>2.0566256665356294E-7</v>
      </c>
    </row>
    <row r="101" spans="2:18" x14ac:dyDescent="0.3">
      <c r="B101" s="54" t="s">
        <v>1491</v>
      </c>
      <c r="C101" s="54" t="s">
        <v>26</v>
      </c>
      <c r="E101" s="1">
        <v>2129</v>
      </c>
      <c r="F101" s="309">
        <v>18239</v>
      </c>
      <c r="G101" s="309">
        <v>3883</v>
      </c>
      <c r="H101" s="368">
        <f t="shared" si="35"/>
        <v>5.0300024294536068E-6</v>
      </c>
      <c r="J101" s="1">
        <v>1140</v>
      </c>
      <c r="K101" s="309">
        <v>12675</v>
      </c>
      <c r="L101" s="309">
        <v>1445</v>
      </c>
      <c r="M101" s="368">
        <f t="shared" si="36"/>
        <v>1.9709889414780564E-6</v>
      </c>
      <c r="O101" s="1">
        <v>1004</v>
      </c>
      <c r="P101" s="309">
        <v>13137</v>
      </c>
      <c r="Q101" s="309">
        <v>1319</v>
      </c>
      <c r="R101" s="368">
        <f t="shared" si="37"/>
        <v>1.7231976235685974E-6</v>
      </c>
    </row>
    <row r="102" spans="2:18" x14ac:dyDescent="0.3">
      <c r="B102" s="54" t="s">
        <v>1492</v>
      </c>
      <c r="C102" s="54" t="s">
        <v>28</v>
      </c>
      <c r="E102" s="1">
        <v>29537</v>
      </c>
      <c r="F102" s="309">
        <v>68835</v>
      </c>
      <c r="G102" s="309">
        <v>203318</v>
      </c>
      <c r="H102" s="368">
        <f t="shared" si="35"/>
        <v>7.1901702968908232E-4</v>
      </c>
      <c r="J102" s="1">
        <v>29378</v>
      </c>
      <c r="K102" s="309">
        <v>68546</v>
      </c>
      <c r="L102" s="309">
        <v>201375</v>
      </c>
      <c r="M102" s="368">
        <f t="shared" si="36"/>
        <v>6.9272437480098683E-4</v>
      </c>
      <c r="O102" s="1">
        <v>30112</v>
      </c>
      <c r="P102" s="309">
        <v>67524</v>
      </c>
      <c r="Q102" s="309">
        <v>203327</v>
      </c>
      <c r="R102" s="368">
        <f t="shared" si="37"/>
        <v>6.7939085304285032E-4</v>
      </c>
    </row>
    <row r="103" spans="2:18" x14ac:dyDescent="0.3">
      <c r="B103" s="54" t="s">
        <v>1492</v>
      </c>
      <c r="C103" s="54" t="s">
        <v>24</v>
      </c>
      <c r="E103" s="1">
        <v>424907</v>
      </c>
      <c r="F103" s="309">
        <v>22473</v>
      </c>
      <c r="G103" s="309">
        <v>954909</v>
      </c>
      <c r="H103" s="368">
        <f t="shared" si="35"/>
        <v>8.4245936476489401E-4</v>
      </c>
      <c r="J103" s="1">
        <v>462187</v>
      </c>
      <c r="K103" s="309">
        <v>27282</v>
      </c>
      <c r="L103" s="309">
        <v>1260926</v>
      </c>
      <c r="M103" s="368">
        <f t="shared" si="36"/>
        <v>1.1250931787525548E-3</v>
      </c>
      <c r="O103" s="1">
        <v>468080</v>
      </c>
      <c r="P103" s="309">
        <v>21097</v>
      </c>
      <c r="Q103" s="309">
        <v>987503</v>
      </c>
      <c r="R103" s="368">
        <f t="shared" si="37"/>
        <v>8.6195310447309927E-4</v>
      </c>
    </row>
    <row r="104" spans="2:18" x14ac:dyDescent="0.3">
      <c r="B104" s="54" t="s">
        <v>1492</v>
      </c>
      <c r="C104" s="54" t="s">
        <v>25</v>
      </c>
      <c r="E104" s="1">
        <v>178144</v>
      </c>
      <c r="F104" s="309">
        <v>58677</v>
      </c>
      <c r="G104" s="309">
        <v>1045291</v>
      </c>
      <c r="H104" s="368">
        <f t="shared" si="35"/>
        <v>2.8288308227340593E-3</v>
      </c>
      <c r="J104" s="1">
        <v>180802</v>
      </c>
      <c r="K104" s="309">
        <v>64211</v>
      </c>
      <c r="L104" s="309">
        <v>1160940</v>
      </c>
      <c r="M104" s="368">
        <f t="shared" si="36"/>
        <v>3.1834302409343425E-3</v>
      </c>
      <c r="O104" s="1">
        <v>175708</v>
      </c>
      <c r="P104" s="309">
        <v>71515</v>
      </c>
      <c r="Q104" s="309">
        <v>1256584</v>
      </c>
      <c r="R104" s="368">
        <f t="shared" si="37"/>
        <v>3.3978554348666366E-3</v>
      </c>
    </row>
    <row r="105" spans="2:18" x14ac:dyDescent="0.3">
      <c r="B105" s="54" t="s">
        <v>1492</v>
      </c>
      <c r="C105" s="54" t="s">
        <v>1468</v>
      </c>
      <c r="E105" s="1">
        <v>172824</v>
      </c>
      <c r="F105" s="309">
        <v>27692</v>
      </c>
      <c r="G105" s="309">
        <v>478578</v>
      </c>
      <c r="H105" s="368">
        <f t="shared" si="35"/>
        <v>6.7507297449733816E-4</v>
      </c>
      <c r="J105" s="1">
        <v>169776</v>
      </c>
      <c r="K105" s="309">
        <v>31875</v>
      </c>
      <c r="L105" s="309">
        <v>541157</v>
      </c>
      <c r="M105" s="368">
        <f t="shared" si="36"/>
        <v>7.5291615374409922E-4</v>
      </c>
      <c r="O105" s="1">
        <v>187281</v>
      </c>
      <c r="P105" s="309">
        <v>32040</v>
      </c>
      <c r="Q105" s="309">
        <v>600044</v>
      </c>
      <c r="R105" s="368">
        <f t="shared" si="37"/>
        <v>8.4276534900528223E-4</v>
      </c>
    </row>
    <row r="106" spans="2:18" x14ac:dyDescent="0.3">
      <c r="B106" s="54" t="s">
        <v>1492</v>
      </c>
      <c r="C106" s="54" t="s">
        <v>27</v>
      </c>
      <c r="E106" s="1">
        <v>1263702</v>
      </c>
      <c r="F106" s="309">
        <v>21137</v>
      </c>
      <c r="G106" s="309">
        <v>2671046</v>
      </c>
      <c r="H106" s="368">
        <f t="shared" si="35"/>
        <v>7.4393563845967826E-3</v>
      </c>
      <c r="J106" s="1">
        <v>1362925</v>
      </c>
      <c r="K106" s="309">
        <v>21587</v>
      </c>
      <c r="L106" s="309">
        <v>2942131</v>
      </c>
      <c r="M106" s="368">
        <f t="shared" si="36"/>
        <v>8.5480236935436705E-3</v>
      </c>
      <c r="O106" s="1">
        <v>1387973</v>
      </c>
      <c r="P106" s="309">
        <v>21548</v>
      </c>
      <c r="Q106" s="309">
        <v>2990845</v>
      </c>
      <c r="R106" s="368">
        <f t="shared" si="37"/>
        <v>8.9741242635623317E-3</v>
      </c>
    </row>
    <row r="107" spans="2:18" x14ac:dyDescent="0.3">
      <c r="B107" s="54" t="s">
        <v>1492</v>
      </c>
      <c r="C107" s="54" t="s">
        <v>1470</v>
      </c>
      <c r="E107" s="1">
        <v>157074</v>
      </c>
      <c r="F107" s="309">
        <v>555896</v>
      </c>
      <c r="G107" s="309">
        <v>8731676</v>
      </c>
      <c r="H107" s="368">
        <f t="shared" si="35"/>
        <v>4.8257931070899195E-3</v>
      </c>
      <c r="J107" s="1">
        <v>168180</v>
      </c>
      <c r="K107" s="309">
        <v>571795</v>
      </c>
      <c r="L107" s="309">
        <v>9616440</v>
      </c>
      <c r="M107" s="368">
        <f t="shared" si="36"/>
        <v>5.0497261766598751E-3</v>
      </c>
      <c r="O107" s="1">
        <v>174630</v>
      </c>
      <c r="P107" s="309">
        <v>547356</v>
      </c>
      <c r="Q107" s="309">
        <v>9558472</v>
      </c>
      <c r="R107" s="368">
        <f t="shared" si="37"/>
        <v>4.9641916282985232E-3</v>
      </c>
    </row>
    <row r="108" spans="2:18" x14ac:dyDescent="0.3">
      <c r="B108" s="54" t="s">
        <v>1492</v>
      </c>
      <c r="C108" s="54" t="s">
        <v>26</v>
      </c>
      <c r="E108" s="1">
        <v>174386</v>
      </c>
      <c r="F108" s="309">
        <v>8848</v>
      </c>
      <c r="G108" s="309">
        <v>154293</v>
      </c>
      <c r="H108" s="368">
        <f t="shared" si="35"/>
        <v>1.9986973083896097E-4</v>
      </c>
      <c r="J108" s="1">
        <v>199569</v>
      </c>
      <c r="K108" s="309">
        <v>15117</v>
      </c>
      <c r="L108" s="309">
        <v>301689</v>
      </c>
      <c r="M108" s="368">
        <f t="shared" si="36"/>
        <v>4.1150566281354558E-4</v>
      </c>
      <c r="O108" s="1">
        <v>197713</v>
      </c>
      <c r="P108" s="309">
        <v>11993</v>
      </c>
      <c r="Q108" s="309">
        <v>237127</v>
      </c>
      <c r="R108" s="368">
        <f t="shared" si="37"/>
        <v>3.0979278459738498E-4</v>
      </c>
    </row>
    <row r="109" spans="2:18" x14ac:dyDescent="0.3">
      <c r="B109" s="54" t="s">
        <v>1493</v>
      </c>
      <c r="C109" s="54" t="s">
        <v>24</v>
      </c>
      <c r="E109" s="1">
        <v>194266</v>
      </c>
      <c r="F109" s="309">
        <v>36526</v>
      </c>
      <c r="G109" s="309">
        <v>709584</v>
      </c>
      <c r="H109" s="368">
        <f t="shared" si="35"/>
        <v>6.2602372151412597E-4</v>
      </c>
      <c r="J109" s="1">
        <v>191617</v>
      </c>
      <c r="K109" s="309">
        <v>66400</v>
      </c>
      <c r="L109" s="309">
        <v>1272339</v>
      </c>
      <c r="M109" s="368">
        <f t="shared" si="36"/>
        <v>1.135276717238638E-3</v>
      </c>
      <c r="O109" s="1">
        <v>191840</v>
      </c>
      <c r="P109" s="309">
        <v>64408</v>
      </c>
      <c r="Q109" s="309">
        <v>1235596</v>
      </c>
      <c r="R109" s="368">
        <f t="shared" si="37"/>
        <v>1.0785038709498031E-3</v>
      </c>
    </row>
    <row r="110" spans="2:18" x14ac:dyDescent="0.3">
      <c r="B110" s="54" t="s">
        <v>1493</v>
      </c>
      <c r="C110" s="54" t="s">
        <v>25</v>
      </c>
      <c r="E110" s="1">
        <v>34941</v>
      </c>
      <c r="F110" s="309">
        <v>96488</v>
      </c>
      <c r="G110" s="309">
        <v>337137</v>
      </c>
      <c r="H110" s="368">
        <f t="shared" si="35"/>
        <v>9.1238089401333457E-4</v>
      </c>
      <c r="J110" s="1">
        <v>35159</v>
      </c>
      <c r="K110" s="309">
        <v>112140</v>
      </c>
      <c r="L110" s="309">
        <v>394274</v>
      </c>
      <c r="M110" s="368">
        <f t="shared" si="36"/>
        <v>1.0811443957604587E-3</v>
      </c>
      <c r="O110" s="1">
        <v>34239</v>
      </c>
      <c r="P110" s="309">
        <v>111367</v>
      </c>
      <c r="Q110" s="309">
        <v>381308</v>
      </c>
      <c r="R110" s="368">
        <f t="shared" si="37"/>
        <v>1.0310727019905773E-3</v>
      </c>
    </row>
    <row r="111" spans="2:18" x14ac:dyDescent="0.3">
      <c r="B111" s="54" t="s">
        <v>1493</v>
      </c>
      <c r="C111" s="54" t="s">
        <v>27</v>
      </c>
      <c r="E111" s="1">
        <v>7507</v>
      </c>
      <c r="F111" s="309">
        <v>15639</v>
      </c>
      <c r="G111" s="309">
        <v>11740</v>
      </c>
      <c r="H111" s="368">
        <f t="shared" si="35"/>
        <v>3.2698068080881506E-5</v>
      </c>
      <c r="J111" s="1">
        <v>8579</v>
      </c>
      <c r="K111" s="309">
        <v>27197</v>
      </c>
      <c r="L111" s="309">
        <v>23332</v>
      </c>
      <c r="M111" s="368">
        <f t="shared" si="36"/>
        <v>6.7788446135729822E-5</v>
      </c>
      <c r="O111" s="1">
        <v>9026</v>
      </c>
      <c r="P111" s="309">
        <v>26316</v>
      </c>
      <c r="Q111" s="309">
        <v>23753</v>
      </c>
      <c r="R111" s="368">
        <f t="shared" si="37"/>
        <v>7.1271621776586899E-5</v>
      </c>
    </row>
    <row r="112" spans="2:18" x14ac:dyDescent="0.3">
      <c r="B112" s="54" t="s">
        <v>1493</v>
      </c>
      <c r="C112" s="54" t="s">
        <v>1469</v>
      </c>
      <c r="E112" s="1">
        <v>16</v>
      </c>
      <c r="F112" s="309">
        <v>213750</v>
      </c>
      <c r="G112" s="309">
        <v>342</v>
      </c>
      <c r="H112" s="368">
        <f t="shared" si="35"/>
        <v>1.0892087370515772E-6</v>
      </c>
      <c r="J112" s="1">
        <v>16</v>
      </c>
      <c r="K112" s="309">
        <v>213750</v>
      </c>
      <c r="L112" s="309">
        <v>342</v>
      </c>
      <c r="M112" s="368">
        <f t="shared" si="36"/>
        <v>1.2494896410239279E-6</v>
      </c>
      <c r="O112" s="1">
        <v>16</v>
      </c>
      <c r="P112" s="309">
        <v>213750</v>
      </c>
      <c r="Q112" s="309">
        <v>342</v>
      </c>
      <c r="R112" s="368">
        <f t="shared" si="37"/>
        <v>1.2280160883034054E-6</v>
      </c>
    </row>
    <row r="113" spans="2:18" x14ac:dyDescent="0.3">
      <c r="B113" s="54" t="s">
        <v>1493</v>
      </c>
      <c r="C113" s="54" t="s">
        <v>26</v>
      </c>
      <c r="E113" s="1">
        <v>70046</v>
      </c>
      <c r="F113" s="309">
        <v>41739</v>
      </c>
      <c r="G113" s="309">
        <v>292368</v>
      </c>
      <c r="H113" s="368">
        <f t="shared" si="35"/>
        <v>3.7873081387960138E-4</v>
      </c>
      <c r="J113" s="1">
        <v>73591</v>
      </c>
      <c r="K113" s="309">
        <v>40196</v>
      </c>
      <c r="L113" s="309">
        <v>295810</v>
      </c>
      <c r="M113" s="368">
        <f t="shared" si="36"/>
        <v>4.0348667043503382E-4</v>
      </c>
      <c r="O113" s="1">
        <v>68965</v>
      </c>
      <c r="P113" s="309">
        <v>38392</v>
      </c>
      <c r="Q113" s="309">
        <v>264769</v>
      </c>
      <c r="R113" s="368">
        <f t="shared" si="37"/>
        <v>3.4590546747129185E-4</v>
      </c>
    </row>
    <row r="114" spans="2:18" x14ac:dyDescent="0.3">
      <c r="B114" s="54" t="s">
        <v>1494</v>
      </c>
      <c r="C114" s="54" t="s">
        <v>24</v>
      </c>
      <c r="E114" s="1">
        <v>51030</v>
      </c>
      <c r="F114" s="309">
        <v>2403</v>
      </c>
      <c r="G114" s="309">
        <v>12265</v>
      </c>
      <c r="H114" s="368">
        <f t="shared" si="35"/>
        <v>1.0820679361951165E-5</v>
      </c>
      <c r="J114" s="1">
        <v>76608</v>
      </c>
      <c r="K114" s="309">
        <v>3215</v>
      </c>
      <c r="L114" s="309">
        <v>24633</v>
      </c>
      <c r="M114" s="368">
        <f t="shared" si="36"/>
        <v>2.1979418516401189E-5</v>
      </c>
      <c r="O114" s="1">
        <v>35862</v>
      </c>
      <c r="P114" s="309">
        <v>2029</v>
      </c>
      <c r="Q114" s="309">
        <v>7278</v>
      </c>
      <c r="R114" s="368">
        <f t="shared" si="37"/>
        <v>6.3526841886609119E-6</v>
      </c>
    </row>
    <row r="115" spans="2:18" x14ac:dyDescent="0.3">
      <c r="B115" s="54" t="s">
        <v>1494</v>
      </c>
      <c r="C115" s="54" t="s">
        <v>25</v>
      </c>
      <c r="E115" s="1">
        <v>568</v>
      </c>
      <c r="F115" s="309">
        <v>154313</v>
      </c>
      <c r="G115" s="309">
        <v>8765</v>
      </c>
      <c r="H115" s="368">
        <f t="shared" si="35"/>
        <v>2.3720382325365885E-5</v>
      </c>
      <c r="J115" s="1">
        <v>797</v>
      </c>
      <c r="K115" s="309">
        <v>154768</v>
      </c>
      <c r="L115" s="309">
        <v>12335</v>
      </c>
      <c r="M115" s="368">
        <f t="shared" si="36"/>
        <v>3.3823980586356842E-5</v>
      </c>
      <c r="O115" s="1">
        <v>850</v>
      </c>
      <c r="P115" s="309">
        <v>21176</v>
      </c>
      <c r="Q115" s="309">
        <v>1800</v>
      </c>
      <c r="R115" s="368">
        <f t="shared" si="37"/>
        <v>4.8672749157716044E-6</v>
      </c>
    </row>
    <row r="116" spans="2:18" x14ac:dyDescent="0.3">
      <c r="B116" s="54" t="s">
        <v>1494</v>
      </c>
      <c r="C116" s="54" t="s">
        <v>26</v>
      </c>
      <c r="E116" s="1">
        <v>0</v>
      </c>
      <c r="F116" s="309"/>
      <c r="G116" s="309">
        <v>0</v>
      </c>
      <c r="H116" s="368">
        <f t="shared" si="35"/>
        <v>0</v>
      </c>
      <c r="J116" s="1">
        <v>910</v>
      </c>
      <c r="K116" s="309">
        <v>13319</v>
      </c>
      <c r="L116" s="309">
        <v>1212</v>
      </c>
      <c r="M116" s="368">
        <f t="shared" si="36"/>
        <v>1.6531754997033942E-6</v>
      </c>
      <c r="O116" s="1">
        <v>620</v>
      </c>
      <c r="P116" s="309">
        <v>6081</v>
      </c>
      <c r="Q116" s="309">
        <v>377</v>
      </c>
      <c r="R116" s="368">
        <f t="shared" si="37"/>
        <v>4.925288128016385E-7</v>
      </c>
    </row>
    <row r="117" spans="2:18" x14ac:dyDescent="0.3">
      <c r="B117" s="54" t="s">
        <v>1</v>
      </c>
      <c r="C117" s="54" t="s">
        <v>28</v>
      </c>
      <c r="E117" s="1">
        <v>1266471</v>
      </c>
      <c r="F117" s="309">
        <v>146088</v>
      </c>
      <c r="G117" s="309">
        <v>18501645</v>
      </c>
      <c r="H117" s="368">
        <f t="shared" si="35"/>
        <v>6.5429513531816474E-2</v>
      </c>
      <c r="J117" s="1">
        <v>1215988</v>
      </c>
      <c r="K117" s="309">
        <v>147018</v>
      </c>
      <c r="L117" s="309">
        <v>17877163</v>
      </c>
      <c r="M117" s="368">
        <f t="shared" si="36"/>
        <v>6.1496941340237539E-2</v>
      </c>
      <c r="O117" s="1">
        <v>1190121</v>
      </c>
      <c r="P117" s="309">
        <v>147020</v>
      </c>
      <c r="Q117" s="309">
        <v>17497115</v>
      </c>
      <c r="R117" s="368">
        <f t="shared" si="37"/>
        <v>5.8464345048315533E-2</v>
      </c>
    </row>
    <row r="118" spans="2:18" x14ac:dyDescent="0.3">
      <c r="B118" s="54" t="s">
        <v>1</v>
      </c>
      <c r="C118" s="54" t="s">
        <v>24</v>
      </c>
      <c r="E118" s="1">
        <v>17427206</v>
      </c>
      <c r="F118" s="309">
        <v>56183</v>
      </c>
      <c r="G118" s="309">
        <v>97910658</v>
      </c>
      <c r="H118" s="368">
        <f t="shared" si="35"/>
        <v>8.638074491118293E-2</v>
      </c>
      <c r="J118" s="1">
        <v>16126368</v>
      </c>
      <c r="K118" s="309">
        <v>51076</v>
      </c>
      <c r="L118" s="309">
        <v>82366531</v>
      </c>
      <c r="M118" s="368">
        <f t="shared" si="36"/>
        <v>7.3493624673938718E-2</v>
      </c>
      <c r="O118" s="1">
        <v>17518054</v>
      </c>
      <c r="P118" s="309">
        <v>57734</v>
      </c>
      <c r="Q118" s="309">
        <v>101138617</v>
      </c>
      <c r="R118" s="368">
        <f t="shared" si="37"/>
        <v>8.8279979812988685E-2</v>
      </c>
    </row>
    <row r="119" spans="2:18" x14ac:dyDescent="0.3">
      <c r="B119" s="54" t="s">
        <v>1</v>
      </c>
      <c r="C119" s="54" t="s">
        <v>1472</v>
      </c>
      <c r="E119" s="1">
        <v>115133</v>
      </c>
      <c r="F119" s="309">
        <v>146558</v>
      </c>
      <c r="G119" s="309">
        <v>1687371</v>
      </c>
      <c r="H119" s="368">
        <f t="shared" si="35"/>
        <v>4.215316796431781E-3</v>
      </c>
      <c r="J119" s="1">
        <v>161558</v>
      </c>
      <c r="K119" s="309">
        <v>139255</v>
      </c>
      <c r="L119" s="309">
        <v>2249770</v>
      </c>
      <c r="M119" s="368">
        <f t="shared" si="36"/>
        <v>5.5744870172088675E-3</v>
      </c>
      <c r="O119" s="1">
        <v>177475</v>
      </c>
      <c r="P119" s="309">
        <v>145558</v>
      </c>
      <c r="Q119" s="309">
        <v>2583293</v>
      </c>
      <c r="R119" s="368">
        <f t="shared" si="37"/>
        <v>6.2900263146020178E-3</v>
      </c>
    </row>
    <row r="120" spans="2:18" x14ac:dyDescent="0.3">
      <c r="B120" s="54" t="s">
        <v>1</v>
      </c>
      <c r="C120" s="54" t="s">
        <v>25</v>
      </c>
      <c r="E120" s="1">
        <v>118130</v>
      </c>
      <c r="F120" s="309">
        <v>309411</v>
      </c>
      <c r="G120" s="309">
        <v>3655069</v>
      </c>
      <c r="H120" s="368">
        <f t="shared" si="35"/>
        <v>9.8915726304156029E-3</v>
      </c>
      <c r="J120" s="1">
        <v>119609</v>
      </c>
      <c r="K120" s="309">
        <v>311762</v>
      </c>
      <c r="L120" s="309">
        <v>3728953</v>
      </c>
      <c r="M120" s="368">
        <f t="shared" si="36"/>
        <v>1.0225215555690078E-2</v>
      </c>
      <c r="O120" s="1">
        <v>116682</v>
      </c>
      <c r="P120" s="309">
        <v>316838</v>
      </c>
      <c r="Q120" s="309">
        <v>3696930</v>
      </c>
      <c r="R120" s="368">
        <f t="shared" si="37"/>
        <v>9.9966525857575102E-3</v>
      </c>
    </row>
    <row r="121" spans="2:18" x14ac:dyDescent="0.3">
      <c r="B121" s="54" t="s">
        <v>1</v>
      </c>
      <c r="C121" s="54" t="s">
        <v>1468</v>
      </c>
      <c r="E121" s="1">
        <v>2006202</v>
      </c>
      <c r="F121" s="309">
        <v>62131</v>
      </c>
      <c r="G121" s="309">
        <v>12464766</v>
      </c>
      <c r="H121" s="368">
        <f t="shared" si="35"/>
        <v>1.7582560544014324E-2</v>
      </c>
      <c r="J121" s="1">
        <v>1872155</v>
      </c>
      <c r="K121" s="309">
        <v>63074</v>
      </c>
      <c r="L121" s="309">
        <v>11808412</v>
      </c>
      <c r="M121" s="368">
        <f t="shared" si="36"/>
        <v>1.64291400552255E-2</v>
      </c>
      <c r="O121" s="1">
        <v>1710049</v>
      </c>
      <c r="P121" s="309">
        <v>60633</v>
      </c>
      <c r="Q121" s="309">
        <v>10368611</v>
      </c>
      <c r="R121" s="368">
        <f t="shared" si="37"/>
        <v>1.4562775509987616E-2</v>
      </c>
    </row>
    <row r="122" spans="2:18" x14ac:dyDescent="0.3">
      <c r="B122" s="54" t="s">
        <v>1</v>
      </c>
      <c r="C122" s="54" t="s">
        <v>27</v>
      </c>
      <c r="E122" s="1">
        <v>33959879</v>
      </c>
      <c r="F122" s="309">
        <v>33785</v>
      </c>
      <c r="G122" s="309">
        <v>114732101</v>
      </c>
      <c r="H122" s="368">
        <f t="shared" si="35"/>
        <v>0.31955008940038954</v>
      </c>
      <c r="J122" s="1">
        <v>34777936</v>
      </c>
      <c r="K122" s="309">
        <v>33904</v>
      </c>
      <c r="L122" s="309">
        <v>117912450</v>
      </c>
      <c r="M122" s="368">
        <f t="shared" si="36"/>
        <v>0.34258108029988582</v>
      </c>
      <c r="O122" s="1">
        <v>35881447</v>
      </c>
      <c r="P122" s="309">
        <v>31846</v>
      </c>
      <c r="Q122" s="309">
        <v>114269392</v>
      </c>
      <c r="R122" s="368">
        <f t="shared" si="37"/>
        <v>0.34286889602427251</v>
      </c>
    </row>
    <row r="123" spans="2:18" x14ac:dyDescent="0.3">
      <c r="B123" s="54" t="s">
        <v>1</v>
      </c>
      <c r="C123" s="54" t="s">
        <v>1470</v>
      </c>
      <c r="E123" s="1">
        <v>10189208</v>
      </c>
      <c r="F123" s="309">
        <v>744559</v>
      </c>
      <c r="G123" s="309">
        <v>758646205</v>
      </c>
      <c r="H123" s="368">
        <f t="shared" si="35"/>
        <v>0.4192860141408048</v>
      </c>
      <c r="J123" s="1">
        <v>10013452</v>
      </c>
      <c r="K123" s="309">
        <v>746057</v>
      </c>
      <c r="L123" s="309">
        <v>747060316</v>
      </c>
      <c r="M123" s="368">
        <f t="shared" si="36"/>
        <v>0.39229174551590801</v>
      </c>
      <c r="O123" s="1">
        <v>10081170</v>
      </c>
      <c r="P123" s="309">
        <v>746833</v>
      </c>
      <c r="Q123" s="309">
        <v>752895389</v>
      </c>
      <c r="R123" s="368">
        <f t="shared" si="37"/>
        <v>0.39101615687720381</v>
      </c>
    </row>
    <row r="124" spans="2:18" x14ac:dyDescent="0.3">
      <c r="B124" s="54" t="s">
        <v>1</v>
      </c>
      <c r="C124" s="54" t="s">
        <v>26</v>
      </c>
      <c r="E124" s="1">
        <v>1905617</v>
      </c>
      <c r="F124" s="309">
        <v>22790</v>
      </c>
      <c r="G124" s="309">
        <v>4342812</v>
      </c>
      <c r="H124" s="368">
        <f t="shared" si="35"/>
        <v>5.6256386584239704E-3</v>
      </c>
      <c r="J124" s="1">
        <v>2080204</v>
      </c>
      <c r="K124" s="309">
        <v>26292</v>
      </c>
      <c r="L124" s="309">
        <v>5469236</v>
      </c>
      <c r="M124" s="368">
        <f t="shared" si="36"/>
        <v>7.4600717469437234E-3</v>
      </c>
      <c r="O124" s="1">
        <v>2098003</v>
      </c>
      <c r="P124" s="309">
        <v>26712</v>
      </c>
      <c r="Q124" s="309">
        <v>5604158</v>
      </c>
      <c r="R124" s="368">
        <f t="shared" si="37"/>
        <v>7.3215100437474933E-3</v>
      </c>
    </row>
    <row r="125" spans="2:18" x14ac:dyDescent="0.3">
      <c r="B125" s="54" t="s">
        <v>1495</v>
      </c>
      <c r="C125" s="54" t="s">
        <v>28</v>
      </c>
      <c r="E125" s="1">
        <v>177</v>
      </c>
      <c r="F125" s="309">
        <v>185198</v>
      </c>
      <c r="G125" s="309">
        <v>3278</v>
      </c>
      <c r="H125" s="368">
        <f t="shared" si="35"/>
        <v>1.1592371670588988E-5</v>
      </c>
      <c r="J125" s="1">
        <v>176</v>
      </c>
      <c r="K125" s="309">
        <v>189205</v>
      </c>
      <c r="L125" s="309">
        <v>3330</v>
      </c>
      <c r="M125" s="368">
        <f t="shared" si="36"/>
        <v>1.1455106979949281E-5</v>
      </c>
      <c r="O125" s="1">
        <v>175</v>
      </c>
      <c r="P125" s="309">
        <v>193257</v>
      </c>
      <c r="Q125" s="309">
        <v>3382</v>
      </c>
      <c r="R125" s="368">
        <f t="shared" si="37"/>
        <v>1.1300515253709148E-5</v>
      </c>
    </row>
    <row r="126" spans="2:18" x14ac:dyDescent="0.3">
      <c r="B126" s="54" t="s">
        <v>1495</v>
      </c>
      <c r="C126" s="54" t="s">
        <v>1468</v>
      </c>
      <c r="E126" s="1">
        <v>920</v>
      </c>
      <c r="F126" s="309">
        <v>16598</v>
      </c>
      <c r="G126" s="309">
        <v>1527</v>
      </c>
      <c r="H126" s="368">
        <f t="shared" si="35"/>
        <v>2.1539569977254187E-6</v>
      </c>
      <c r="J126" s="1">
        <v>783</v>
      </c>
      <c r="K126" s="309">
        <v>20038</v>
      </c>
      <c r="L126" s="309">
        <v>1569</v>
      </c>
      <c r="M126" s="368">
        <f t="shared" si="36"/>
        <v>2.182962514066143E-6</v>
      </c>
      <c r="O126" s="1">
        <v>773</v>
      </c>
      <c r="P126" s="309">
        <v>19405</v>
      </c>
      <c r="Q126" s="309">
        <v>1500</v>
      </c>
      <c r="R126" s="368">
        <f t="shared" si="37"/>
        <v>2.1067588768622357E-6</v>
      </c>
    </row>
    <row r="127" spans="2:18" x14ac:dyDescent="0.3">
      <c r="B127" s="54" t="s">
        <v>1496</v>
      </c>
      <c r="C127" s="54" t="s">
        <v>24</v>
      </c>
      <c r="E127" s="1">
        <v>398152</v>
      </c>
      <c r="F127" s="309">
        <v>64362</v>
      </c>
      <c r="G127" s="309">
        <v>2562569</v>
      </c>
      <c r="H127" s="368">
        <f t="shared" si="35"/>
        <v>2.2608020784244463E-3</v>
      </c>
      <c r="J127" s="1">
        <v>444620</v>
      </c>
      <c r="K127" s="309">
        <v>79225</v>
      </c>
      <c r="L127" s="309">
        <v>3522500</v>
      </c>
      <c r="M127" s="368">
        <f t="shared" si="36"/>
        <v>3.1430398946138589E-3</v>
      </c>
      <c r="O127" s="1">
        <v>560910</v>
      </c>
      <c r="P127" s="309">
        <v>72379</v>
      </c>
      <c r="Q127" s="309">
        <v>4059790</v>
      </c>
      <c r="R127" s="368">
        <f t="shared" si="37"/>
        <v>3.5436333803632431E-3</v>
      </c>
    </row>
    <row r="128" spans="2:18" x14ac:dyDescent="0.3">
      <c r="B128" s="54" t="s">
        <v>1496</v>
      </c>
      <c r="C128" s="54" t="s">
        <v>25</v>
      </c>
      <c r="E128" s="1">
        <v>12806</v>
      </c>
      <c r="F128" s="309">
        <v>177897</v>
      </c>
      <c r="G128" s="309">
        <v>227815</v>
      </c>
      <c r="H128" s="368">
        <f t="shared" si="35"/>
        <v>6.1652697084463531E-4</v>
      </c>
      <c r="J128" s="1">
        <v>14100</v>
      </c>
      <c r="K128" s="309">
        <v>185596</v>
      </c>
      <c r="L128" s="309">
        <v>261690</v>
      </c>
      <c r="M128" s="368">
        <f t="shared" si="36"/>
        <v>7.175839059297707E-4</v>
      </c>
      <c r="O128" s="1">
        <v>9290</v>
      </c>
      <c r="P128" s="309">
        <v>212497</v>
      </c>
      <c r="Q128" s="309">
        <v>197410</v>
      </c>
      <c r="R128" s="368">
        <f t="shared" si="37"/>
        <v>5.3380485617915137E-4</v>
      </c>
    </row>
    <row r="129" spans="2:18" x14ac:dyDescent="0.3">
      <c r="B129" s="54" t="s">
        <v>1496</v>
      </c>
      <c r="C129" s="54" t="s">
        <v>1468</v>
      </c>
      <c r="E129" s="1">
        <v>10434</v>
      </c>
      <c r="F129" s="309">
        <v>56089</v>
      </c>
      <c r="G129" s="309">
        <v>58523</v>
      </c>
      <c r="H129" s="368">
        <f t="shared" si="35"/>
        <v>8.2551424608961804E-5</v>
      </c>
      <c r="J129" s="1">
        <v>11000</v>
      </c>
      <c r="K129" s="309">
        <v>55200</v>
      </c>
      <c r="L129" s="309">
        <v>60720</v>
      </c>
      <c r="M129" s="368">
        <f t="shared" si="36"/>
        <v>8.4480231901909626E-5</v>
      </c>
      <c r="O129" s="1">
        <v>11820</v>
      </c>
      <c r="P129" s="309">
        <v>60000</v>
      </c>
      <c r="Q129" s="309">
        <v>70920</v>
      </c>
      <c r="R129" s="368">
        <f t="shared" si="37"/>
        <v>9.9607559698046506E-5</v>
      </c>
    </row>
    <row r="130" spans="2:18" x14ac:dyDescent="0.3">
      <c r="B130" s="54" t="s">
        <v>1496</v>
      </c>
      <c r="C130" s="54" t="s">
        <v>27</v>
      </c>
      <c r="E130" s="1">
        <v>11530</v>
      </c>
      <c r="F130" s="309">
        <v>17346</v>
      </c>
      <c r="G130" s="309">
        <v>20000</v>
      </c>
      <c r="H130" s="368">
        <f t="shared" si="35"/>
        <v>5.5703693493835618E-5</v>
      </c>
      <c r="J130" s="1">
        <v>2320</v>
      </c>
      <c r="K130" s="309">
        <v>20388</v>
      </c>
      <c r="L130" s="309">
        <v>4730</v>
      </c>
      <c r="M130" s="368">
        <f t="shared" si="36"/>
        <v>1.3742471722184214E-5</v>
      </c>
      <c r="O130" s="1">
        <v>3860</v>
      </c>
      <c r="P130" s="309">
        <v>19611</v>
      </c>
      <c r="Q130" s="309">
        <v>7570</v>
      </c>
      <c r="R130" s="368">
        <f t="shared" si="37"/>
        <v>2.2714022517103643E-5</v>
      </c>
    </row>
    <row r="131" spans="2:18" x14ac:dyDescent="0.3">
      <c r="B131" s="54" t="s">
        <v>1496</v>
      </c>
      <c r="C131" s="54" t="s">
        <v>1469</v>
      </c>
      <c r="E131" s="1">
        <v>0</v>
      </c>
      <c r="F131" s="309"/>
      <c r="G131" s="309">
        <v>0</v>
      </c>
      <c r="H131" s="368">
        <f t="shared" ref="H131:H194" si="38">G131/(VLOOKUP($C131,$W$5:$Z$13,2,FALSE)*10^6)</f>
        <v>0</v>
      </c>
      <c r="J131" s="1">
        <v>0</v>
      </c>
      <c r="K131" s="309"/>
      <c r="L131" s="309">
        <v>0</v>
      </c>
      <c r="M131" s="368">
        <f t="shared" ref="M131:M194" si="39">L131/(VLOOKUP($C131,$W$5:$Z$13,3,FALSE)*10^6)</f>
        <v>0</v>
      </c>
      <c r="O131" s="1">
        <v>0</v>
      </c>
      <c r="P131" s="309"/>
      <c r="Q131" s="309">
        <v>0</v>
      </c>
      <c r="R131" s="368">
        <f t="shared" ref="R131:R194" si="40">Q131/(VLOOKUP($C131,$W$5:$Z$13,4,FALSE)*10^6)</f>
        <v>0</v>
      </c>
    </row>
    <row r="132" spans="2:18" x14ac:dyDescent="0.3">
      <c r="B132" s="54" t="s">
        <v>1496</v>
      </c>
      <c r="C132" s="54" t="s">
        <v>26</v>
      </c>
      <c r="E132" s="1">
        <v>1144519</v>
      </c>
      <c r="F132" s="309">
        <v>53583</v>
      </c>
      <c r="G132" s="309">
        <v>6132671</v>
      </c>
      <c r="H132" s="368">
        <f t="shared" si="38"/>
        <v>7.9442055186813507E-3</v>
      </c>
      <c r="J132" s="1">
        <v>1212010</v>
      </c>
      <c r="K132" s="309">
        <v>49129</v>
      </c>
      <c r="L132" s="309">
        <v>5954520</v>
      </c>
      <c r="M132" s="368">
        <f t="shared" si="39"/>
        <v>8.1220021258200121E-3</v>
      </c>
      <c r="O132" s="1">
        <v>1198680</v>
      </c>
      <c r="P132" s="309">
        <v>52722</v>
      </c>
      <c r="Q132" s="309">
        <v>6319630</v>
      </c>
      <c r="R132" s="368">
        <f t="shared" si="40"/>
        <v>8.2562330537019075E-3</v>
      </c>
    </row>
    <row r="133" spans="2:18" x14ac:dyDescent="0.3">
      <c r="B133" s="54" t="s">
        <v>1497</v>
      </c>
      <c r="C133" s="54" t="s">
        <v>28</v>
      </c>
      <c r="E133" s="1">
        <v>4002</v>
      </c>
      <c r="F133" s="309">
        <v>10207</v>
      </c>
      <c r="G133" s="309">
        <v>4085</v>
      </c>
      <c r="H133" s="368">
        <f t="shared" si="38"/>
        <v>1.4446259388150097E-5</v>
      </c>
      <c r="J133" s="1">
        <v>4321</v>
      </c>
      <c r="K133" s="309">
        <v>9387</v>
      </c>
      <c r="L133" s="309">
        <v>4056</v>
      </c>
      <c r="M133" s="368">
        <f t="shared" si="39"/>
        <v>1.3952526699902186E-5</v>
      </c>
      <c r="O133" s="1">
        <v>4722</v>
      </c>
      <c r="P133" s="309">
        <v>8568</v>
      </c>
      <c r="Q133" s="309">
        <v>4046</v>
      </c>
      <c r="R133" s="368">
        <f t="shared" si="40"/>
        <v>1.351918530943442E-5</v>
      </c>
    </row>
    <row r="134" spans="2:18" x14ac:dyDescent="0.3">
      <c r="B134" s="54" t="s">
        <v>1497</v>
      </c>
      <c r="C134" s="54" t="s">
        <v>24</v>
      </c>
      <c r="E134" s="1">
        <v>956386</v>
      </c>
      <c r="F134" s="309">
        <v>16034</v>
      </c>
      <c r="G134" s="309">
        <v>1533431</v>
      </c>
      <c r="H134" s="368">
        <f t="shared" si="38"/>
        <v>1.3528548858276507E-3</v>
      </c>
      <c r="J134" s="1">
        <v>1019181</v>
      </c>
      <c r="K134" s="309">
        <v>16681</v>
      </c>
      <c r="L134" s="309">
        <v>1700127</v>
      </c>
      <c r="M134" s="368">
        <f t="shared" si="39"/>
        <v>1.5169814015358911E-3</v>
      </c>
      <c r="O134" s="1">
        <v>1014907</v>
      </c>
      <c r="P134" s="309">
        <v>16858</v>
      </c>
      <c r="Q134" s="309">
        <v>1710898</v>
      </c>
      <c r="R134" s="368">
        <f t="shared" si="40"/>
        <v>1.4933765695261854E-3</v>
      </c>
    </row>
    <row r="135" spans="2:18" x14ac:dyDescent="0.3">
      <c r="B135" s="54" t="s">
        <v>1497</v>
      </c>
      <c r="C135" s="54" t="s">
        <v>25</v>
      </c>
      <c r="E135" s="1">
        <v>5014</v>
      </c>
      <c r="F135" s="309">
        <v>117174</v>
      </c>
      <c r="G135" s="309">
        <v>58751</v>
      </c>
      <c r="H135" s="368">
        <f t="shared" si="38"/>
        <v>1.5899557124900981E-4</v>
      </c>
      <c r="J135" s="1">
        <v>4883</v>
      </c>
      <c r="K135" s="309">
        <v>130319</v>
      </c>
      <c r="L135" s="309">
        <v>63635</v>
      </c>
      <c r="M135" s="368">
        <f t="shared" si="39"/>
        <v>1.744944470703541E-4</v>
      </c>
      <c r="O135" s="1">
        <v>5599</v>
      </c>
      <c r="P135" s="309">
        <v>123913</v>
      </c>
      <c r="Q135" s="309">
        <v>69379</v>
      </c>
      <c r="R135" s="368">
        <f t="shared" si="40"/>
        <v>1.8760370354517676E-4</v>
      </c>
    </row>
    <row r="136" spans="2:18" x14ac:dyDescent="0.3">
      <c r="B136" s="54" t="s">
        <v>1497</v>
      </c>
      <c r="C136" s="54" t="s">
        <v>1468</v>
      </c>
      <c r="E136" s="1">
        <v>165086</v>
      </c>
      <c r="F136" s="309">
        <v>19721</v>
      </c>
      <c r="G136" s="309">
        <v>325566</v>
      </c>
      <c r="H136" s="368">
        <f t="shared" si="38"/>
        <v>4.5923717349146933E-4</v>
      </c>
      <c r="J136" s="1">
        <v>160949</v>
      </c>
      <c r="K136" s="309">
        <v>21770</v>
      </c>
      <c r="L136" s="309">
        <v>350392</v>
      </c>
      <c r="M136" s="368">
        <f t="shared" si="39"/>
        <v>4.8750325126109876E-4</v>
      </c>
      <c r="O136" s="1">
        <v>177256</v>
      </c>
      <c r="P136" s="309">
        <v>21242</v>
      </c>
      <c r="Q136" s="309">
        <v>376527</v>
      </c>
      <c r="R136" s="368">
        <f t="shared" si="40"/>
        <v>5.288343997522047E-4</v>
      </c>
    </row>
    <row r="137" spans="2:18" x14ac:dyDescent="0.3">
      <c r="B137" s="54" t="s">
        <v>1497</v>
      </c>
      <c r="C137" s="54" t="s">
        <v>27</v>
      </c>
      <c r="E137" s="1">
        <v>17434</v>
      </c>
      <c r="F137" s="309">
        <v>10611</v>
      </c>
      <c r="G137" s="309">
        <v>18500</v>
      </c>
      <c r="H137" s="368">
        <f t="shared" si="38"/>
        <v>5.1525916481797942E-5</v>
      </c>
      <c r="J137" s="1">
        <v>28206</v>
      </c>
      <c r="K137" s="309">
        <v>11102</v>
      </c>
      <c r="L137" s="309">
        <v>31314</v>
      </c>
      <c r="M137" s="368">
        <f t="shared" si="39"/>
        <v>9.0979230340058453E-5</v>
      </c>
      <c r="O137" s="1">
        <v>44699</v>
      </c>
      <c r="P137" s="309">
        <v>11568</v>
      </c>
      <c r="Q137" s="309">
        <v>51708</v>
      </c>
      <c r="R137" s="368">
        <f t="shared" si="40"/>
        <v>1.551514763955608E-4</v>
      </c>
    </row>
    <row r="138" spans="2:18" x14ac:dyDescent="0.3">
      <c r="B138" s="54" t="s">
        <v>1497</v>
      </c>
      <c r="C138" s="54" t="s">
        <v>1470</v>
      </c>
      <c r="E138" s="1">
        <v>4817</v>
      </c>
      <c r="F138" s="309">
        <v>1008939</v>
      </c>
      <c r="G138" s="309">
        <v>486006</v>
      </c>
      <c r="H138" s="368">
        <f t="shared" si="38"/>
        <v>2.6860414939861986E-4</v>
      </c>
      <c r="J138" s="1">
        <v>4839</v>
      </c>
      <c r="K138" s="309">
        <v>1009275</v>
      </c>
      <c r="L138" s="309">
        <v>488388</v>
      </c>
      <c r="M138" s="368">
        <f t="shared" si="39"/>
        <v>2.5645932049350522E-4</v>
      </c>
      <c r="O138" s="1">
        <v>4860</v>
      </c>
      <c r="P138" s="309">
        <v>1009815</v>
      </c>
      <c r="Q138" s="309">
        <v>490770</v>
      </c>
      <c r="R138" s="368">
        <f t="shared" si="40"/>
        <v>2.5488135817315426E-4</v>
      </c>
    </row>
    <row r="139" spans="2:18" x14ac:dyDescent="0.3">
      <c r="B139" s="54" t="s">
        <v>1498</v>
      </c>
      <c r="C139" s="54" t="s">
        <v>28</v>
      </c>
      <c r="E139" s="1">
        <v>308949</v>
      </c>
      <c r="F139" s="309">
        <v>73969</v>
      </c>
      <c r="G139" s="309">
        <v>2285265</v>
      </c>
      <c r="H139" s="368">
        <f t="shared" si="38"/>
        <v>8.0816477259879633E-3</v>
      </c>
      <c r="J139" s="1">
        <v>295769</v>
      </c>
      <c r="K139" s="309">
        <v>80695</v>
      </c>
      <c r="L139" s="309">
        <v>2386709</v>
      </c>
      <c r="M139" s="368">
        <f t="shared" si="39"/>
        <v>8.2102122897921223E-3</v>
      </c>
      <c r="O139" s="1">
        <v>296000</v>
      </c>
      <c r="P139" s="309">
        <v>81384</v>
      </c>
      <c r="Q139" s="309">
        <v>2408958</v>
      </c>
      <c r="R139" s="368">
        <f t="shared" si="40"/>
        <v>8.0492213555720532E-3</v>
      </c>
    </row>
    <row r="140" spans="2:18" x14ac:dyDescent="0.3">
      <c r="B140" s="54" t="s">
        <v>1498</v>
      </c>
      <c r="C140" s="54" t="s">
        <v>24</v>
      </c>
      <c r="E140" s="1">
        <v>175965</v>
      </c>
      <c r="F140" s="309">
        <v>12977</v>
      </c>
      <c r="G140" s="309">
        <v>228355</v>
      </c>
      <c r="H140" s="368">
        <f t="shared" si="38"/>
        <v>2.0146402247846377E-4</v>
      </c>
      <c r="J140" s="1">
        <v>190003</v>
      </c>
      <c r="K140" s="309">
        <v>15289</v>
      </c>
      <c r="L140" s="309">
        <v>290498</v>
      </c>
      <c r="M140" s="368">
        <f t="shared" si="39"/>
        <v>2.5920420249979755E-4</v>
      </c>
      <c r="O140" s="1">
        <v>270755</v>
      </c>
      <c r="P140" s="309">
        <v>10002</v>
      </c>
      <c r="Q140" s="309">
        <v>270813</v>
      </c>
      <c r="R140" s="368">
        <f t="shared" si="40"/>
        <v>2.363821741115454E-4</v>
      </c>
    </row>
    <row r="141" spans="2:18" x14ac:dyDescent="0.3">
      <c r="B141" s="54" t="s">
        <v>1498</v>
      </c>
      <c r="C141" s="54" t="s">
        <v>1472</v>
      </c>
      <c r="E141" s="1">
        <v>8931</v>
      </c>
      <c r="F141" s="309">
        <v>99246</v>
      </c>
      <c r="G141" s="309">
        <v>88637</v>
      </c>
      <c r="H141" s="368">
        <f t="shared" si="38"/>
        <v>2.2142909584514834E-4</v>
      </c>
      <c r="J141" s="1">
        <v>8928</v>
      </c>
      <c r="K141" s="309">
        <v>99163</v>
      </c>
      <c r="L141" s="309">
        <v>88533</v>
      </c>
      <c r="M141" s="368">
        <f t="shared" si="39"/>
        <v>2.1936733937004789E-4</v>
      </c>
      <c r="O141" s="1">
        <v>8940</v>
      </c>
      <c r="P141" s="309">
        <v>99076</v>
      </c>
      <c r="Q141" s="309">
        <v>88574</v>
      </c>
      <c r="R141" s="368">
        <f t="shared" si="40"/>
        <v>2.1566767331059975E-4</v>
      </c>
    </row>
    <row r="142" spans="2:18" x14ac:dyDescent="0.3">
      <c r="B142" s="54" t="s">
        <v>1498</v>
      </c>
      <c r="C142" s="54" t="s">
        <v>25</v>
      </c>
      <c r="E142" s="1">
        <v>19987</v>
      </c>
      <c r="F142" s="309">
        <v>102512</v>
      </c>
      <c r="G142" s="309">
        <v>204891</v>
      </c>
      <c r="H142" s="368">
        <f t="shared" si="38"/>
        <v>5.5448863149190435E-4</v>
      </c>
      <c r="J142" s="1">
        <v>27097</v>
      </c>
      <c r="K142" s="309">
        <v>111697</v>
      </c>
      <c r="L142" s="309">
        <v>302665</v>
      </c>
      <c r="M142" s="368">
        <f t="shared" si="39"/>
        <v>8.2994204168380166E-4</v>
      </c>
      <c r="O142" s="1">
        <v>53689</v>
      </c>
      <c r="P142" s="309">
        <v>70115</v>
      </c>
      <c r="Q142" s="309">
        <v>376441</v>
      </c>
      <c r="R142" s="368">
        <f t="shared" si="40"/>
        <v>1.0179121314266549E-3</v>
      </c>
    </row>
    <row r="143" spans="2:18" x14ac:dyDescent="0.3">
      <c r="B143" s="54" t="s">
        <v>1498</v>
      </c>
      <c r="C143" s="54" t="s">
        <v>1468</v>
      </c>
      <c r="E143" s="1">
        <v>49501</v>
      </c>
      <c r="F143" s="309">
        <v>17838</v>
      </c>
      <c r="G143" s="309">
        <v>88298</v>
      </c>
      <c r="H143" s="368">
        <f t="shared" si="38"/>
        <v>1.2455147019329341E-4</v>
      </c>
      <c r="J143" s="1">
        <v>49813</v>
      </c>
      <c r="K143" s="309">
        <v>17926</v>
      </c>
      <c r="L143" s="309">
        <v>89296</v>
      </c>
      <c r="M143" s="368">
        <f t="shared" si="39"/>
        <v>1.2423825408288739E-4</v>
      </c>
      <c r="O143" s="1">
        <v>58997</v>
      </c>
      <c r="P143" s="309">
        <v>15002</v>
      </c>
      <c r="Q143" s="309">
        <v>88510</v>
      </c>
      <c r="R143" s="368">
        <f t="shared" si="40"/>
        <v>1.2431281879405099E-4</v>
      </c>
    </row>
    <row r="144" spans="2:18" x14ac:dyDescent="0.3">
      <c r="B144" s="54" t="s">
        <v>1498</v>
      </c>
      <c r="C144" s="54" t="s">
        <v>27</v>
      </c>
      <c r="E144" s="1">
        <v>4491</v>
      </c>
      <c r="F144" s="309">
        <v>4825</v>
      </c>
      <c r="G144" s="309">
        <v>2167</v>
      </c>
      <c r="H144" s="368">
        <f t="shared" si="38"/>
        <v>6.0354951900570889E-6</v>
      </c>
      <c r="J144" s="1">
        <v>4582</v>
      </c>
      <c r="K144" s="309">
        <v>5210</v>
      </c>
      <c r="L144" s="309">
        <v>2387</v>
      </c>
      <c r="M144" s="368">
        <f t="shared" si="39"/>
        <v>6.9351543342185454E-6</v>
      </c>
      <c r="O144" s="1">
        <v>4600</v>
      </c>
      <c r="P144" s="309">
        <v>5628</v>
      </c>
      <c r="Q144" s="309">
        <v>2589</v>
      </c>
      <c r="R144" s="368">
        <f t="shared" si="40"/>
        <v>7.7683757327320123E-6</v>
      </c>
    </row>
    <row r="145" spans="2:18" x14ac:dyDescent="0.3">
      <c r="B145" s="54" t="s">
        <v>1498</v>
      </c>
      <c r="C145" s="54" t="s">
        <v>1470</v>
      </c>
      <c r="E145" s="1">
        <v>3250</v>
      </c>
      <c r="F145" s="309">
        <v>661902</v>
      </c>
      <c r="G145" s="309">
        <v>215118</v>
      </c>
      <c r="H145" s="368">
        <f t="shared" si="38"/>
        <v>1.1889068737902887E-4</v>
      </c>
      <c r="J145" s="1">
        <v>3057</v>
      </c>
      <c r="K145" s="309">
        <v>583706</v>
      </c>
      <c r="L145" s="309">
        <v>178439</v>
      </c>
      <c r="M145" s="368">
        <f t="shared" si="39"/>
        <v>9.3700796681205463E-5</v>
      </c>
      <c r="O145" s="1">
        <v>2668</v>
      </c>
      <c r="P145" s="309">
        <v>626844</v>
      </c>
      <c r="Q145" s="309">
        <v>167242</v>
      </c>
      <c r="R145" s="368">
        <f t="shared" si="40"/>
        <v>8.6857118616856502E-5</v>
      </c>
    </row>
    <row r="146" spans="2:18" x14ac:dyDescent="0.3">
      <c r="B146" s="54" t="s">
        <v>1498</v>
      </c>
      <c r="C146" s="54" t="s">
        <v>26</v>
      </c>
      <c r="E146" s="1">
        <v>20240</v>
      </c>
      <c r="F146" s="309">
        <v>3982</v>
      </c>
      <c r="G146" s="309">
        <v>8060</v>
      </c>
      <c r="H146" s="368">
        <f t="shared" si="38"/>
        <v>1.0440849750552685E-5</v>
      </c>
      <c r="J146" s="1">
        <v>16145</v>
      </c>
      <c r="K146" s="309">
        <v>14092</v>
      </c>
      <c r="L146" s="309">
        <v>22751</v>
      </c>
      <c r="M146" s="368">
        <f t="shared" si="39"/>
        <v>3.1032504780323366E-5</v>
      </c>
      <c r="O146" s="1">
        <v>7645</v>
      </c>
      <c r="P146" s="309">
        <v>6402</v>
      </c>
      <c r="Q146" s="309">
        <v>4894</v>
      </c>
      <c r="R146" s="368">
        <f t="shared" si="40"/>
        <v>6.3937294691013767E-6</v>
      </c>
    </row>
    <row r="147" spans="2:18" x14ac:dyDescent="0.3">
      <c r="B147" s="54" t="s">
        <v>1499</v>
      </c>
      <c r="C147" s="54" t="s">
        <v>28</v>
      </c>
      <c r="E147" s="1">
        <v>494</v>
      </c>
      <c r="F147" s="309">
        <v>113300</v>
      </c>
      <c r="G147" s="309">
        <v>5597</v>
      </c>
      <c r="H147" s="368">
        <f t="shared" si="38"/>
        <v>1.9793320390569423E-5</v>
      </c>
      <c r="J147" s="1">
        <v>450</v>
      </c>
      <c r="K147" s="309">
        <v>87756</v>
      </c>
      <c r="L147" s="309">
        <v>3949</v>
      </c>
      <c r="M147" s="368">
        <f t="shared" si="39"/>
        <v>1.3584449688834747E-5</v>
      </c>
      <c r="O147" s="1">
        <v>449</v>
      </c>
      <c r="P147" s="309">
        <v>114120</v>
      </c>
      <c r="Q147" s="309">
        <v>5124</v>
      </c>
      <c r="R147" s="368">
        <f t="shared" si="40"/>
        <v>1.7121182779422139E-5</v>
      </c>
    </row>
    <row r="148" spans="2:18" x14ac:dyDescent="0.3">
      <c r="B148" s="54" t="s">
        <v>1499</v>
      </c>
      <c r="C148" s="54" t="s">
        <v>24</v>
      </c>
      <c r="E148" s="1">
        <v>31699</v>
      </c>
      <c r="F148" s="309">
        <v>1</v>
      </c>
      <c r="G148" s="309">
        <v>4</v>
      </c>
      <c r="H148" s="368">
        <f t="shared" si="38"/>
        <v>3.5289618791524384E-9</v>
      </c>
      <c r="J148" s="1">
        <v>31698</v>
      </c>
      <c r="K148" s="309">
        <v>227</v>
      </c>
      <c r="L148" s="309">
        <v>719</v>
      </c>
      <c r="M148" s="368">
        <f t="shared" si="39"/>
        <v>6.4154597139172872E-7</v>
      </c>
      <c r="O148" s="1">
        <v>27581</v>
      </c>
      <c r="P148" s="309">
        <v>232</v>
      </c>
      <c r="Q148" s="309">
        <v>640</v>
      </c>
      <c r="R148" s="368">
        <f t="shared" si="40"/>
        <v>5.5863120098144864E-7</v>
      </c>
    </row>
    <row r="149" spans="2:18" x14ac:dyDescent="0.3">
      <c r="B149" s="54" t="s">
        <v>1499</v>
      </c>
      <c r="C149" s="54" t="s">
        <v>25</v>
      </c>
      <c r="E149" s="1">
        <v>202</v>
      </c>
      <c r="F149" s="309">
        <v>200050</v>
      </c>
      <c r="G149" s="309">
        <v>4041</v>
      </c>
      <c r="H149" s="368">
        <f t="shared" si="38"/>
        <v>1.0936002849606793E-5</v>
      </c>
      <c r="J149" s="1">
        <v>364</v>
      </c>
      <c r="K149" s="309">
        <v>60440</v>
      </c>
      <c r="L149" s="309">
        <v>2200</v>
      </c>
      <c r="M149" s="368">
        <f t="shared" si="39"/>
        <v>6.032651584109044E-6</v>
      </c>
      <c r="O149" s="1">
        <v>163</v>
      </c>
      <c r="P149" s="309">
        <v>163558</v>
      </c>
      <c r="Q149" s="309">
        <v>2666</v>
      </c>
      <c r="R149" s="368">
        <f t="shared" si="40"/>
        <v>7.208974958581721E-6</v>
      </c>
    </row>
    <row r="150" spans="2:18" x14ac:dyDescent="0.3">
      <c r="B150" s="54" t="s">
        <v>1499</v>
      </c>
      <c r="C150" s="54" t="s">
        <v>1470</v>
      </c>
      <c r="E150" s="1">
        <v>1277</v>
      </c>
      <c r="F150" s="309">
        <v>222200</v>
      </c>
      <c r="G150" s="309">
        <v>28375</v>
      </c>
      <c r="H150" s="368">
        <f t="shared" si="38"/>
        <v>1.5682198860067238E-5</v>
      </c>
      <c r="J150" s="1">
        <v>1025</v>
      </c>
      <c r="K150" s="309">
        <v>223805</v>
      </c>
      <c r="L150" s="309">
        <v>22940</v>
      </c>
      <c r="M150" s="368">
        <f t="shared" si="39"/>
        <v>1.2046112541915463E-5</v>
      </c>
      <c r="O150" s="1">
        <v>916</v>
      </c>
      <c r="P150" s="309">
        <v>225109</v>
      </c>
      <c r="Q150" s="309">
        <v>20620</v>
      </c>
      <c r="R150" s="368">
        <f t="shared" si="40"/>
        <v>1.0708995263627444E-5</v>
      </c>
    </row>
    <row r="151" spans="2:18" x14ac:dyDescent="0.3">
      <c r="B151" s="54" t="s">
        <v>564</v>
      </c>
      <c r="C151" s="54" t="s">
        <v>28</v>
      </c>
      <c r="E151" s="1">
        <v>457305</v>
      </c>
      <c r="F151" s="309">
        <v>259648</v>
      </c>
      <c r="G151" s="309">
        <v>11873828</v>
      </c>
      <c r="H151" s="368">
        <f t="shared" si="38"/>
        <v>4.1990795402271602E-2</v>
      </c>
      <c r="J151" s="1">
        <v>481679</v>
      </c>
      <c r="K151" s="309">
        <v>265859</v>
      </c>
      <c r="L151" s="309">
        <v>12805875</v>
      </c>
      <c r="M151" s="368">
        <f t="shared" si="39"/>
        <v>4.4051852281338733E-2</v>
      </c>
      <c r="O151" s="1">
        <v>504940</v>
      </c>
      <c r="P151" s="309">
        <v>272070</v>
      </c>
      <c r="Q151" s="309">
        <v>13737921</v>
      </c>
      <c r="R151" s="368">
        <f t="shared" si="40"/>
        <v>4.5903484865390663E-2</v>
      </c>
    </row>
    <row r="152" spans="2:18" x14ac:dyDescent="0.3">
      <c r="B152" s="54" t="s">
        <v>564</v>
      </c>
      <c r="C152" s="54" t="s">
        <v>24</v>
      </c>
      <c r="E152" s="1">
        <v>151145</v>
      </c>
      <c r="F152" s="309">
        <v>49621</v>
      </c>
      <c r="G152" s="309">
        <v>750000</v>
      </c>
      <c r="H152" s="368">
        <f t="shared" si="38"/>
        <v>6.6168035234108219E-4</v>
      </c>
      <c r="J152" s="1">
        <v>242237</v>
      </c>
      <c r="K152" s="309">
        <v>50859</v>
      </c>
      <c r="L152" s="309">
        <v>1232000</v>
      </c>
      <c r="M152" s="368">
        <f t="shared" si="39"/>
        <v>1.0992832221899999E-3</v>
      </c>
      <c r="O152" s="1">
        <v>270701</v>
      </c>
      <c r="P152" s="309">
        <v>52098</v>
      </c>
      <c r="Q152" s="309">
        <v>1410286</v>
      </c>
      <c r="R152" s="368">
        <f t="shared" si="40"/>
        <v>1.2309840029801928E-3</v>
      </c>
    </row>
    <row r="153" spans="2:18" x14ac:dyDescent="0.3">
      <c r="B153" s="54" t="s">
        <v>564</v>
      </c>
      <c r="C153" s="54" t="s">
        <v>1472</v>
      </c>
      <c r="E153" s="1">
        <v>14641</v>
      </c>
      <c r="F153" s="309">
        <v>109282</v>
      </c>
      <c r="G153" s="309">
        <v>160000</v>
      </c>
      <c r="H153" s="368">
        <f t="shared" si="38"/>
        <v>3.9970503666892759E-4</v>
      </c>
      <c r="J153" s="1">
        <v>14749</v>
      </c>
      <c r="K153" s="309">
        <v>108482</v>
      </c>
      <c r="L153" s="309">
        <v>160000</v>
      </c>
      <c r="M153" s="368">
        <f t="shared" si="39"/>
        <v>3.9644849151398537E-4</v>
      </c>
      <c r="O153" s="1">
        <v>14852</v>
      </c>
      <c r="P153" s="309">
        <v>107730</v>
      </c>
      <c r="Q153" s="309">
        <v>160000</v>
      </c>
      <c r="R153" s="368">
        <f t="shared" si="40"/>
        <v>3.8958190586059065E-4</v>
      </c>
    </row>
    <row r="154" spans="2:18" x14ac:dyDescent="0.3">
      <c r="B154" s="54" t="s">
        <v>564</v>
      </c>
      <c r="C154" s="54" t="s">
        <v>1468</v>
      </c>
      <c r="E154" s="1">
        <v>3035700</v>
      </c>
      <c r="F154" s="309">
        <v>34648</v>
      </c>
      <c r="G154" s="309">
        <v>10518000</v>
      </c>
      <c r="H154" s="368">
        <f t="shared" si="38"/>
        <v>1.4836489654273708E-2</v>
      </c>
      <c r="J154" s="1">
        <v>3071696</v>
      </c>
      <c r="K154" s="309">
        <v>35459</v>
      </c>
      <c r="L154" s="309">
        <v>10892000</v>
      </c>
      <c r="M154" s="368">
        <f t="shared" si="39"/>
        <v>1.5154128555263498E-2</v>
      </c>
      <c r="O154" s="1">
        <v>3001313</v>
      </c>
      <c r="P154" s="309">
        <v>36271</v>
      </c>
      <c r="Q154" s="309">
        <v>10886000</v>
      </c>
      <c r="R154" s="368">
        <f t="shared" si="40"/>
        <v>1.5289451422348199E-2</v>
      </c>
    </row>
    <row r="155" spans="2:18" x14ac:dyDescent="0.3">
      <c r="B155" s="54" t="s">
        <v>564</v>
      </c>
      <c r="C155" s="54" t="s">
        <v>27</v>
      </c>
      <c r="E155" s="1">
        <v>104000</v>
      </c>
      <c r="F155" s="309">
        <v>16154</v>
      </c>
      <c r="G155" s="309">
        <v>168000</v>
      </c>
      <c r="H155" s="368">
        <f t="shared" si="38"/>
        <v>4.6791102534821918E-4</v>
      </c>
      <c r="J155" s="1">
        <v>105000</v>
      </c>
      <c r="K155" s="309">
        <v>16190</v>
      </c>
      <c r="L155" s="309">
        <v>170000</v>
      </c>
      <c r="M155" s="368">
        <f t="shared" si="39"/>
        <v>4.9391547415884071E-4</v>
      </c>
      <c r="O155" s="1">
        <v>108704</v>
      </c>
      <c r="P155" s="309">
        <v>16189</v>
      </c>
      <c r="Q155" s="309">
        <v>175977</v>
      </c>
      <c r="R155" s="368">
        <f t="shared" si="40"/>
        <v>5.2802450997256904E-4</v>
      </c>
    </row>
    <row r="156" spans="2:18" x14ac:dyDescent="0.3">
      <c r="B156" s="54" t="s">
        <v>564</v>
      </c>
      <c r="C156" s="54" t="s">
        <v>1470</v>
      </c>
      <c r="E156" s="1">
        <v>28950</v>
      </c>
      <c r="F156" s="309">
        <v>222403</v>
      </c>
      <c r="G156" s="309">
        <v>643856</v>
      </c>
      <c r="H156" s="368">
        <f t="shared" si="38"/>
        <v>3.5584415257259742E-4</v>
      </c>
      <c r="J156" s="1">
        <v>28770</v>
      </c>
      <c r="K156" s="309">
        <v>222454</v>
      </c>
      <c r="L156" s="309">
        <v>640000</v>
      </c>
      <c r="M156" s="368">
        <f t="shared" si="39"/>
        <v>3.3607288695840877E-4</v>
      </c>
      <c r="O156" s="1">
        <v>29703</v>
      </c>
      <c r="P156" s="309">
        <v>222509</v>
      </c>
      <c r="Q156" s="309">
        <v>660919</v>
      </c>
      <c r="R156" s="368">
        <f t="shared" si="40"/>
        <v>3.4324822699521759E-4</v>
      </c>
    </row>
    <row r="157" spans="2:18" x14ac:dyDescent="0.3">
      <c r="B157" s="54" t="s">
        <v>1500</v>
      </c>
      <c r="C157" s="54" t="s">
        <v>28</v>
      </c>
      <c r="E157" s="1">
        <v>349170</v>
      </c>
      <c r="F157" s="309">
        <v>144296</v>
      </c>
      <c r="G157" s="309">
        <v>5038370</v>
      </c>
      <c r="H157" s="368">
        <f t="shared" si="38"/>
        <v>1.7817772316639852E-2</v>
      </c>
      <c r="J157" s="1">
        <v>395315</v>
      </c>
      <c r="K157" s="309">
        <v>146835</v>
      </c>
      <c r="L157" s="309">
        <v>5804599</v>
      </c>
      <c r="M157" s="368">
        <f t="shared" si="39"/>
        <v>1.996765841462661E-2</v>
      </c>
      <c r="O157" s="1">
        <v>407017</v>
      </c>
      <c r="P157" s="309">
        <v>149688</v>
      </c>
      <c r="Q157" s="309">
        <v>6092549</v>
      </c>
      <c r="R157" s="368">
        <f t="shared" si="40"/>
        <v>2.0357463899606864E-2</v>
      </c>
    </row>
    <row r="158" spans="2:18" x14ac:dyDescent="0.3">
      <c r="B158" s="54" t="s">
        <v>1500</v>
      </c>
      <c r="C158" s="54" t="s">
        <v>24</v>
      </c>
      <c r="E158" s="1">
        <v>1240977</v>
      </c>
      <c r="F158" s="309">
        <v>18050</v>
      </c>
      <c r="G158" s="309">
        <v>2239930</v>
      </c>
      <c r="H158" s="368">
        <f t="shared" si="38"/>
        <v>1.9761568954924803E-3</v>
      </c>
      <c r="J158" s="1">
        <v>1354866</v>
      </c>
      <c r="K158" s="309">
        <v>17094</v>
      </c>
      <c r="L158" s="309">
        <v>2315941</v>
      </c>
      <c r="M158" s="368">
        <f t="shared" si="39"/>
        <v>2.0664570494171512E-3</v>
      </c>
      <c r="O158" s="1">
        <v>1420018</v>
      </c>
      <c r="P158" s="309">
        <v>16264</v>
      </c>
      <c r="Q158" s="309">
        <v>2309535</v>
      </c>
      <c r="R158" s="368">
        <f t="shared" si="40"/>
        <v>2.0159036105604532E-3</v>
      </c>
    </row>
    <row r="159" spans="2:18" x14ac:dyDescent="0.3">
      <c r="B159" s="54" t="s">
        <v>1500</v>
      </c>
      <c r="C159" s="54" t="s">
        <v>1472</v>
      </c>
      <c r="E159" s="1">
        <v>149000</v>
      </c>
      <c r="F159" s="309">
        <v>142853</v>
      </c>
      <c r="G159" s="309">
        <v>2128514</v>
      </c>
      <c r="H159" s="368">
        <f t="shared" si="38"/>
        <v>5.3173610401270359E-3</v>
      </c>
      <c r="J159" s="1">
        <v>152000</v>
      </c>
      <c r="K159" s="309">
        <v>142148</v>
      </c>
      <c r="L159" s="309">
        <v>2160643</v>
      </c>
      <c r="M159" s="368">
        <f t="shared" si="39"/>
        <v>5.3536478628140741E-3</v>
      </c>
      <c r="O159" s="1">
        <v>155000</v>
      </c>
      <c r="P159" s="309">
        <v>139709</v>
      </c>
      <c r="Q159" s="309">
        <v>2165487</v>
      </c>
      <c r="R159" s="368">
        <f t="shared" si="40"/>
        <v>5.2727159536020808E-3</v>
      </c>
    </row>
    <row r="160" spans="2:18" x14ac:dyDescent="0.3">
      <c r="B160" s="54" t="s">
        <v>1500</v>
      </c>
      <c r="C160" s="54" t="s">
        <v>25</v>
      </c>
      <c r="E160" s="1">
        <v>20500</v>
      </c>
      <c r="F160" s="309">
        <v>153659</v>
      </c>
      <c r="G160" s="309">
        <v>315000</v>
      </c>
      <c r="H160" s="368">
        <f t="shared" si="38"/>
        <v>8.5247238248605287E-4</v>
      </c>
      <c r="J160" s="1">
        <v>19810</v>
      </c>
      <c r="K160" s="309">
        <v>147103</v>
      </c>
      <c r="L160" s="309">
        <v>291412</v>
      </c>
      <c r="M160" s="368">
        <f t="shared" si="39"/>
        <v>7.9908502883108395E-4</v>
      </c>
      <c r="O160" s="1">
        <v>21471</v>
      </c>
      <c r="P160" s="309">
        <v>169324</v>
      </c>
      <c r="Q160" s="309">
        <v>363556</v>
      </c>
      <c r="R160" s="368">
        <f t="shared" si="40"/>
        <v>9.8307055515458978E-4</v>
      </c>
    </row>
    <row r="161" spans="2:18" x14ac:dyDescent="0.3">
      <c r="B161" s="54" t="s">
        <v>1500</v>
      </c>
      <c r="C161" s="54" t="s">
        <v>1468</v>
      </c>
      <c r="E161" s="1">
        <v>198195</v>
      </c>
      <c r="F161" s="309">
        <v>13300</v>
      </c>
      <c r="G161" s="309">
        <v>263600</v>
      </c>
      <c r="H161" s="368">
        <f t="shared" si="38"/>
        <v>3.7182911892627395E-4</v>
      </c>
      <c r="J161" s="1">
        <v>256206</v>
      </c>
      <c r="K161" s="309">
        <v>11725</v>
      </c>
      <c r="L161" s="309">
        <v>300400</v>
      </c>
      <c r="M161" s="368">
        <f t="shared" si="39"/>
        <v>4.1794897337506015E-4</v>
      </c>
      <c r="O161" s="1">
        <v>268408</v>
      </c>
      <c r="P161" s="309">
        <v>11664</v>
      </c>
      <c r="Q161" s="309">
        <v>313084</v>
      </c>
      <c r="R161" s="368">
        <f t="shared" si="40"/>
        <v>4.3972833080235747E-4</v>
      </c>
    </row>
    <row r="162" spans="2:18" x14ac:dyDescent="0.3">
      <c r="B162" s="54" t="s">
        <v>1500</v>
      </c>
      <c r="C162" s="54" t="s">
        <v>27</v>
      </c>
      <c r="E162" s="1">
        <v>19580</v>
      </c>
      <c r="F162" s="309">
        <v>13864</v>
      </c>
      <c r="G162" s="309">
        <v>27145</v>
      </c>
      <c r="H162" s="368">
        <f t="shared" si="38"/>
        <v>7.5603837994508394E-5</v>
      </c>
      <c r="J162" s="1">
        <v>15270</v>
      </c>
      <c r="K162" s="309">
        <v>13926</v>
      </c>
      <c r="L162" s="309">
        <v>21265</v>
      </c>
      <c r="M162" s="368">
        <f t="shared" si="39"/>
        <v>6.1783015046986743E-5</v>
      </c>
      <c r="O162" s="1">
        <v>15957</v>
      </c>
      <c r="P162" s="309">
        <v>14450</v>
      </c>
      <c r="Q162" s="309">
        <v>23058</v>
      </c>
      <c r="R162" s="368">
        <f t="shared" si="40"/>
        <v>6.9186252470194962E-5</v>
      </c>
    </row>
    <row r="163" spans="2:18" x14ac:dyDescent="0.3">
      <c r="B163" s="54" t="s">
        <v>1500</v>
      </c>
      <c r="C163" s="54" t="s">
        <v>1470</v>
      </c>
      <c r="E163" s="1">
        <v>135816</v>
      </c>
      <c r="F163" s="309">
        <v>94892</v>
      </c>
      <c r="G163" s="309">
        <v>1288779</v>
      </c>
      <c r="H163" s="368">
        <f t="shared" si="38"/>
        <v>7.1227801108999448E-4</v>
      </c>
      <c r="J163" s="1">
        <v>135815</v>
      </c>
      <c r="K163" s="309">
        <v>94781</v>
      </c>
      <c r="L163" s="309">
        <v>1287274</v>
      </c>
      <c r="M163" s="368">
        <f t="shared" si="39"/>
        <v>6.759654523226541E-4</v>
      </c>
      <c r="O163" s="1">
        <v>135814</v>
      </c>
      <c r="P163" s="309">
        <v>94671</v>
      </c>
      <c r="Q163" s="309">
        <v>1285769</v>
      </c>
      <c r="R163" s="368">
        <f t="shared" si="40"/>
        <v>6.677640218777398E-4</v>
      </c>
    </row>
    <row r="164" spans="2:18" x14ac:dyDescent="0.3">
      <c r="B164" s="54" t="s">
        <v>1500</v>
      </c>
      <c r="C164" s="54" t="s">
        <v>26</v>
      </c>
      <c r="E164" s="1">
        <v>639</v>
      </c>
      <c r="F164" s="309">
        <v>13302</v>
      </c>
      <c r="G164" s="309">
        <v>850</v>
      </c>
      <c r="H164" s="368">
        <f t="shared" si="38"/>
        <v>1.1010821697232979E-6</v>
      </c>
      <c r="J164" s="1">
        <v>639</v>
      </c>
      <c r="K164" s="309">
        <v>13302</v>
      </c>
      <c r="L164" s="309">
        <v>850</v>
      </c>
      <c r="M164" s="368">
        <f t="shared" si="39"/>
        <v>1.1594052596929744E-6</v>
      </c>
      <c r="O164" s="1">
        <v>651</v>
      </c>
      <c r="P164" s="309">
        <v>13303</v>
      </c>
      <c r="Q164" s="309">
        <v>866</v>
      </c>
      <c r="R164" s="368">
        <f t="shared" si="40"/>
        <v>1.1313791827220663E-6</v>
      </c>
    </row>
    <row r="165" spans="2:18" x14ac:dyDescent="0.3">
      <c r="B165" s="54" t="s">
        <v>2</v>
      </c>
      <c r="C165" s="54" t="s">
        <v>24</v>
      </c>
      <c r="E165" s="1">
        <v>1406200</v>
      </c>
      <c r="F165" s="309">
        <v>100238</v>
      </c>
      <c r="G165" s="309">
        <v>14095500</v>
      </c>
      <c r="H165" s="368">
        <f t="shared" si="38"/>
        <v>1.2435620541898298E-2</v>
      </c>
      <c r="J165" s="1">
        <v>1430700</v>
      </c>
      <c r="K165" s="309">
        <v>97049</v>
      </c>
      <c r="L165" s="309">
        <v>13884800</v>
      </c>
      <c r="M165" s="368">
        <f t="shared" si="39"/>
        <v>1.2389064678136127E-2</v>
      </c>
      <c r="O165" s="1">
        <v>1451200</v>
      </c>
      <c r="P165" s="309">
        <v>92364</v>
      </c>
      <c r="Q165" s="309">
        <v>13403900</v>
      </c>
      <c r="R165" s="368">
        <f t="shared" si="40"/>
        <v>1.1699744929430062E-2</v>
      </c>
    </row>
    <row r="166" spans="2:18" x14ac:dyDescent="0.3">
      <c r="B166" s="54" t="s">
        <v>2</v>
      </c>
      <c r="C166" s="54" t="s">
        <v>25</v>
      </c>
      <c r="E166" s="1">
        <v>137621</v>
      </c>
      <c r="F166" s="309">
        <v>393780</v>
      </c>
      <c r="G166" s="309">
        <v>5419238</v>
      </c>
      <c r="H166" s="368">
        <f t="shared" si="38"/>
        <v>1.4665875330536355E-2</v>
      </c>
      <c r="J166" s="1">
        <v>133749</v>
      </c>
      <c r="K166" s="309">
        <v>389119</v>
      </c>
      <c r="L166" s="309">
        <v>5204431</v>
      </c>
      <c r="M166" s="368">
        <f t="shared" si="39"/>
        <v>1.4271144962061916E-2</v>
      </c>
      <c r="O166" s="1">
        <v>138339</v>
      </c>
      <c r="P166" s="309">
        <v>391049</v>
      </c>
      <c r="Q166" s="309">
        <v>5409739</v>
      </c>
      <c r="R166" s="368">
        <f t="shared" si="40"/>
        <v>1.4628159408650759E-2</v>
      </c>
    </row>
    <row r="167" spans="2:18" x14ac:dyDescent="0.3">
      <c r="B167" s="54" t="s">
        <v>2</v>
      </c>
      <c r="C167" s="54" t="s">
        <v>27</v>
      </c>
      <c r="E167" s="1">
        <v>2934800</v>
      </c>
      <c r="F167" s="309">
        <v>26293</v>
      </c>
      <c r="G167" s="309">
        <v>7716600</v>
      </c>
      <c r="H167" s="368">
        <f t="shared" si="38"/>
        <v>2.1492156060726596E-2</v>
      </c>
      <c r="J167" s="1">
        <v>2539600</v>
      </c>
      <c r="K167" s="309">
        <v>29204</v>
      </c>
      <c r="L167" s="309">
        <v>7416600</v>
      </c>
      <c r="M167" s="368">
        <f t="shared" si="39"/>
        <v>2.1548079444979162E-2</v>
      </c>
      <c r="O167" s="1">
        <v>2270500</v>
      </c>
      <c r="P167" s="309">
        <v>26625</v>
      </c>
      <c r="Q167" s="309">
        <v>6045100</v>
      </c>
      <c r="R167" s="368">
        <f t="shared" si="40"/>
        <v>1.8138512221683386E-2</v>
      </c>
    </row>
    <row r="168" spans="2:18" x14ac:dyDescent="0.3">
      <c r="B168" s="54" t="s">
        <v>2</v>
      </c>
      <c r="C168" s="54" t="s">
        <v>1469</v>
      </c>
      <c r="E168" s="1">
        <v>10500</v>
      </c>
      <c r="F168" s="309">
        <v>734381</v>
      </c>
      <c r="G168" s="309">
        <v>771100</v>
      </c>
      <c r="H168" s="368">
        <f t="shared" si="38"/>
        <v>2.4558153717557638E-3</v>
      </c>
      <c r="J168" s="1">
        <v>18200</v>
      </c>
      <c r="K168" s="309">
        <v>756429</v>
      </c>
      <c r="L168" s="309">
        <v>1376700</v>
      </c>
      <c r="M168" s="368">
        <f t="shared" si="39"/>
        <v>5.0297438268936887E-3</v>
      </c>
      <c r="O168" s="1">
        <v>12400</v>
      </c>
      <c r="P168" s="309">
        <v>728871</v>
      </c>
      <c r="Q168" s="309">
        <v>903800</v>
      </c>
      <c r="R168" s="368">
        <f t="shared" si="40"/>
        <v>3.2452659082123324E-3</v>
      </c>
    </row>
    <row r="169" spans="2:18" x14ac:dyDescent="0.3">
      <c r="B169" s="54" t="s">
        <v>2</v>
      </c>
      <c r="C169" s="54" t="s">
        <v>26</v>
      </c>
      <c r="E169" s="1">
        <v>8983300</v>
      </c>
      <c r="F169" s="309">
        <v>33815</v>
      </c>
      <c r="G169" s="309">
        <v>30377235</v>
      </c>
      <c r="H169" s="368">
        <f t="shared" si="38"/>
        <v>3.9350390381170011E-2</v>
      </c>
      <c r="J169" s="1">
        <v>9881000</v>
      </c>
      <c r="K169" s="309">
        <v>32589</v>
      </c>
      <c r="L169" s="309">
        <v>32201100</v>
      </c>
      <c r="M169" s="368">
        <f t="shared" si="39"/>
        <v>4.3922499656352282E-2</v>
      </c>
      <c r="O169" s="1">
        <v>9655600</v>
      </c>
      <c r="P169" s="309">
        <v>33502</v>
      </c>
      <c r="Q169" s="309">
        <v>32347900</v>
      </c>
      <c r="R169" s="368">
        <f t="shared" si="40"/>
        <v>4.2260670513597144E-2</v>
      </c>
    </row>
    <row r="170" spans="2:18" x14ac:dyDescent="0.3">
      <c r="B170" s="54" t="s">
        <v>1501</v>
      </c>
      <c r="C170" s="54" t="s">
        <v>28</v>
      </c>
      <c r="E170" s="1">
        <v>255819</v>
      </c>
      <c r="F170" s="309">
        <v>28013</v>
      </c>
      <c r="G170" s="309">
        <v>716626</v>
      </c>
      <c r="H170" s="368">
        <f t="shared" si="38"/>
        <v>2.5342876573543334E-3</v>
      </c>
      <c r="J170" s="1">
        <v>259504</v>
      </c>
      <c r="K170" s="309">
        <v>27912</v>
      </c>
      <c r="L170" s="309">
        <v>724332</v>
      </c>
      <c r="M170" s="368">
        <f t="shared" si="39"/>
        <v>2.4916818465467333E-3</v>
      </c>
      <c r="O170" s="1">
        <v>262612</v>
      </c>
      <c r="P170" s="309">
        <v>27811</v>
      </c>
      <c r="Q170" s="309">
        <v>730362</v>
      </c>
      <c r="R170" s="368">
        <f t="shared" si="40"/>
        <v>2.440410089216298E-3</v>
      </c>
    </row>
    <row r="171" spans="2:18" x14ac:dyDescent="0.3">
      <c r="B171" s="54" t="s">
        <v>1501</v>
      </c>
      <c r="C171" s="54" t="s">
        <v>24</v>
      </c>
      <c r="E171" s="1">
        <v>110779</v>
      </c>
      <c r="F171" s="309">
        <v>8124</v>
      </c>
      <c r="G171" s="309">
        <v>90000</v>
      </c>
      <c r="H171" s="368">
        <f t="shared" si="38"/>
        <v>7.9401642280929865E-5</v>
      </c>
      <c r="J171" s="1">
        <v>115831</v>
      </c>
      <c r="K171" s="309">
        <v>7770</v>
      </c>
      <c r="L171" s="309">
        <v>90000</v>
      </c>
      <c r="M171" s="368">
        <f t="shared" si="39"/>
        <v>8.0304780841801939E-5</v>
      </c>
      <c r="O171" s="1">
        <v>147273</v>
      </c>
      <c r="P171" s="309">
        <v>6111</v>
      </c>
      <c r="Q171" s="309">
        <v>90000</v>
      </c>
      <c r="R171" s="368">
        <f t="shared" si="40"/>
        <v>7.8557512638016225E-5</v>
      </c>
    </row>
    <row r="172" spans="2:18" x14ac:dyDescent="0.3">
      <c r="B172" s="54" t="s">
        <v>1501</v>
      </c>
      <c r="C172" s="54" t="s">
        <v>1472</v>
      </c>
      <c r="E172" s="1">
        <v>650</v>
      </c>
      <c r="F172" s="309">
        <v>89231</v>
      </c>
      <c r="G172" s="309">
        <v>5800</v>
      </c>
      <c r="H172" s="368">
        <f t="shared" si="38"/>
        <v>1.4489307579248625E-5</v>
      </c>
      <c r="J172" s="1">
        <v>620</v>
      </c>
      <c r="K172" s="309">
        <v>87742</v>
      </c>
      <c r="L172" s="309">
        <v>5440</v>
      </c>
      <c r="M172" s="368">
        <f t="shared" si="39"/>
        <v>1.3479248711475501E-5</v>
      </c>
      <c r="O172" s="1">
        <v>186</v>
      </c>
      <c r="P172" s="309">
        <v>91344</v>
      </c>
      <c r="Q172" s="309">
        <v>1699</v>
      </c>
      <c r="R172" s="368">
        <f t="shared" si="40"/>
        <v>4.1368728628571475E-6</v>
      </c>
    </row>
    <row r="173" spans="2:18" x14ac:dyDescent="0.3">
      <c r="B173" s="54" t="s">
        <v>1501</v>
      </c>
      <c r="C173" s="54" t="s">
        <v>25</v>
      </c>
      <c r="E173" s="1">
        <v>1870</v>
      </c>
      <c r="F173" s="309">
        <v>7551</v>
      </c>
      <c r="G173" s="309">
        <v>1412</v>
      </c>
      <c r="H173" s="368">
        <f t="shared" si="38"/>
        <v>3.8212412827628781E-6</v>
      </c>
      <c r="J173" s="1">
        <v>2105</v>
      </c>
      <c r="K173" s="309">
        <v>6841</v>
      </c>
      <c r="L173" s="309">
        <v>1440</v>
      </c>
      <c r="M173" s="368">
        <f t="shared" si="39"/>
        <v>3.9486446732350105E-6</v>
      </c>
      <c r="O173" s="1">
        <v>2394</v>
      </c>
      <c r="P173" s="309">
        <v>6132</v>
      </c>
      <c r="Q173" s="309">
        <v>1468</v>
      </c>
      <c r="R173" s="368">
        <f t="shared" si="40"/>
        <v>3.9695330979737312E-6</v>
      </c>
    </row>
    <row r="174" spans="2:18" x14ac:dyDescent="0.3">
      <c r="B174" s="54" t="s">
        <v>1501</v>
      </c>
      <c r="C174" s="54" t="s">
        <v>1468</v>
      </c>
      <c r="E174" s="1">
        <v>6998</v>
      </c>
      <c r="F174" s="309">
        <v>17148</v>
      </c>
      <c r="G174" s="309">
        <v>12000</v>
      </c>
      <c r="H174" s="368">
        <f t="shared" si="38"/>
        <v>1.6926970512576964E-5</v>
      </c>
      <c r="J174" s="1">
        <v>6971</v>
      </c>
      <c r="K174" s="309">
        <v>17214</v>
      </c>
      <c r="L174" s="309">
        <v>12000</v>
      </c>
      <c r="M174" s="368">
        <f t="shared" si="39"/>
        <v>1.6695698004329966E-5</v>
      </c>
      <c r="O174" s="1">
        <v>5788</v>
      </c>
      <c r="P174" s="309">
        <v>16890</v>
      </c>
      <c r="Q174" s="309">
        <v>9776</v>
      </c>
      <c r="R174" s="368">
        <f t="shared" si="40"/>
        <v>1.3730449853470144E-5</v>
      </c>
    </row>
    <row r="175" spans="2:18" x14ac:dyDescent="0.3">
      <c r="B175" s="54" t="s">
        <v>1501</v>
      </c>
      <c r="C175" s="54" t="s">
        <v>1470</v>
      </c>
      <c r="E175" s="1">
        <v>18347</v>
      </c>
      <c r="F175" s="309">
        <v>62681</v>
      </c>
      <c r="G175" s="309">
        <v>115000</v>
      </c>
      <c r="H175" s="368">
        <f t="shared" si="38"/>
        <v>6.3557810357981755E-5</v>
      </c>
      <c r="J175" s="1">
        <v>18475</v>
      </c>
      <c r="K175" s="309">
        <v>62246</v>
      </c>
      <c r="L175" s="309">
        <v>115000</v>
      </c>
      <c r="M175" s="368">
        <f t="shared" si="39"/>
        <v>6.0388096875339068E-5</v>
      </c>
      <c r="O175" s="1">
        <v>19474</v>
      </c>
      <c r="P175" s="309">
        <v>61817</v>
      </c>
      <c r="Q175" s="309">
        <v>120382</v>
      </c>
      <c r="R175" s="368">
        <f t="shared" si="40"/>
        <v>6.252038156285155E-5</v>
      </c>
    </row>
    <row r="176" spans="2:18" x14ac:dyDescent="0.3">
      <c r="B176" s="54" t="s">
        <v>1502</v>
      </c>
      <c r="C176" s="54" t="s">
        <v>28</v>
      </c>
      <c r="E176" s="1">
        <v>35194</v>
      </c>
      <c r="F176" s="309">
        <v>82566</v>
      </c>
      <c r="G176" s="309">
        <v>290584</v>
      </c>
      <c r="H176" s="368">
        <f t="shared" si="38"/>
        <v>1.0276259089464401E-3</v>
      </c>
      <c r="J176" s="1">
        <v>35059</v>
      </c>
      <c r="K176" s="309">
        <v>81094</v>
      </c>
      <c r="L176" s="309">
        <v>284307</v>
      </c>
      <c r="M176" s="368">
        <f t="shared" si="39"/>
        <v>9.7800813818271467E-4</v>
      </c>
      <c r="O176" s="1">
        <v>36382</v>
      </c>
      <c r="P176" s="309">
        <v>81627</v>
      </c>
      <c r="Q176" s="309">
        <v>296976</v>
      </c>
      <c r="R176" s="368">
        <f t="shared" si="40"/>
        <v>9.923068651642602E-4</v>
      </c>
    </row>
    <row r="177" spans="2:18" x14ac:dyDescent="0.3">
      <c r="B177" s="54" t="s">
        <v>1502</v>
      </c>
      <c r="C177" s="54" t="s">
        <v>24</v>
      </c>
      <c r="E177" s="1">
        <v>335637</v>
      </c>
      <c r="F177" s="309">
        <v>11814</v>
      </c>
      <c r="G177" s="309">
        <v>396506</v>
      </c>
      <c r="H177" s="368">
        <f t="shared" si="38"/>
        <v>3.4981363971380421E-4</v>
      </c>
      <c r="J177" s="1">
        <v>341872</v>
      </c>
      <c r="K177" s="309">
        <v>12809</v>
      </c>
      <c r="L177" s="309">
        <v>437898</v>
      </c>
      <c r="M177" s="368">
        <f t="shared" si="39"/>
        <v>3.9072558801181537E-4</v>
      </c>
      <c r="O177" s="1">
        <v>328410</v>
      </c>
      <c r="P177" s="309">
        <v>12625</v>
      </c>
      <c r="Q177" s="309">
        <v>414606</v>
      </c>
      <c r="R177" s="368">
        <f t="shared" si="40"/>
        <v>3.6189351205330391E-4</v>
      </c>
    </row>
    <row r="178" spans="2:18" x14ac:dyDescent="0.3">
      <c r="B178" s="54" t="s">
        <v>1502</v>
      </c>
      <c r="C178" s="54" t="s">
        <v>25</v>
      </c>
      <c r="E178" s="1">
        <v>4215</v>
      </c>
      <c r="F178" s="309">
        <v>97359</v>
      </c>
      <c r="G178" s="309">
        <v>41037</v>
      </c>
      <c r="H178" s="368">
        <f t="shared" si="38"/>
        <v>1.1105685447644492E-4</v>
      </c>
      <c r="J178" s="1">
        <v>4234</v>
      </c>
      <c r="K178" s="309">
        <v>98422</v>
      </c>
      <c r="L178" s="309">
        <v>41672</v>
      </c>
      <c r="M178" s="368">
        <f t="shared" si="39"/>
        <v>1.1426938946045094E-4</v>
      </c>
      <c r="O178" s="1">
        <v>4006</v>
      </c>
      <c r="P178" s="309">
        <v>99483</v>
      </c>
      <c r="Q178" s="309">
        <v>39853</v>
      </c>
      <c r="R178" s="368">
        <f t="shared" si="40"/>
        <v>1.077641706768032E-4</v>
      </c>
    </row>
    <row r="179" spans="2:18" x14ac:dyDescent="0.3">
      <c r="B179" s="54" t="s">
        <v>1502</v>
      </c>
      <c r="C179" s="54" t="s">
        <v>1468</v>
      </c>
      <c r="E179" s="1">
        <v>191029</v>
      </c>
      <c r="F179" s="309">
        <v>13797</v>
      </c>
      <c r="G179" s="309">
        <v>263555</v>
      </c>
      <c r="H179" s="368">
        <f t="shared" si="38"/>
        <v>3.7176564278685182E-4</v>
      </c>
      <c r="J179" s="1">
        <v>185825</v>
      </c>
      <c r="K179" s="309">
        <v>13967</v>
      </c>
      <c r="L179" s="309">
        <v>259540</v>
      </c>
      <c r="M179" s="368">
        <f t="shared" si="39"/>
        <v>3.6110012167031661E-4</v>
      </c>
      <c r="O179" s="1">
        <v>192327</v>
      </c>
      <c r="P179" s="309">
        <v>15108</v>
      </c>
      <c r="Q179" s="309">
        <v>290563</v>
      </c>
      <c r="R179" s="368">
        <f t="shared" si="40"/>
        <v>4.0809745302514789E-4</v>
      </c>
    </row>
    <row r="180" spans="2:18" x14ac:dyDescent="0.3">
      <c r="B180" s="54" t="s">
        <v>1502</v>
      </c>
      <c r="C180" s="54" t="s">
        <v>1470</v>
      </c>
      <c r="E180" s="1">
        <v>4517</v>
      </c>
      <c r="F180" s="309">
        <v>1030666</v>
      </c>
      <c r="G180" s="309">
        <v>465552</v>
      </c>
      <c r="H180" s="368">
        <f t="shared" si="38"/>
        <v>2.5729970198068805E-4</v>
      </c>
      <c r="J180" s="1">
        <v>4558</v>
      </c>
      <c r="K180" s="309">
        <v>1034166</v>
      </c>
      <c r="L180" s="309">
        <v>471373</v>
      </c>
      <c r="M180" s="368">
        <f t="shared" si="39"/>
        <v>2.4752450772538436E-4</v>
      </c>
      <c r="O180" s="1">
        <v>4598</v>
      </c>
      <c r="P180" s="309">
        <v>1037829</v>
      </c>
      <c r="Q180" s="309">
        <v>477194</v>
      </c>
      <c r="R180" s="368">
        <f t="shared" si="40"/>
        <v>2.4783066371636447E-4</v>
      </c>
    </row>
    <row r="181" spans="2:18" x14ac:dyDescent="0.3">
      <c r="B181" s="54" t="s">
        <v>1502</v>
      </c>
      <c r="C181" s="54" t="s">
        <v>26</v>
      </c>
      <c r="E181" s="1">
        <v>950</v>
      </c>
      <c r="F181" s="309">
        <v>19684</v>
      </c>
      <c r="G181" s="309">
        <v>1870</v>
      </c>
      <c r="H181" s="368">
        <f t="shared" si="38"/>
        <v>2.4223807733912554E-6</v>
      </c>
      <c r="J181" s="1">
        <v>801</v>
      </c>
      <c r="K181" s="309">
        <v>22447</v>
      </c>
      <c r="L181" s="309">
        <v>1798</v>
      </c>
      <c r="M181" s="368">
        <f t="shared" si="39"/>
        <v>2.4524831257976093E-6</v>
      </c>
      <c r="O181" s="1">
        <v>862</v>
      </c>
      <c r="P181" s="309">
        <v>18712</v>
      </c>
      <c r="Q181" s="309">
        <v>1613</v>
      </c>
      <c r="R181" s="368">
        <f t="shared" si="40"/>
        <v>2.1072917110054191E-6</v>
      </c>
    </row>
    <row r="182" spans="2:18" x14ac:dyDescent="0.3">
      <c r="B182" s="54" t="s">
        <v>3</v>
      </c>
      <c r="C182" s="54" t="s">
        <v>24</v>
      </c>
      <c r="E182" s="1">
        <v>94668</v>
      </c>
      <c r="F182" s="309">
        <v>112244</v>
      </c>
      <c r="G182" s="309">
        <v>1062589</v>
      </c>
      <c r="H182" s="368">
        <f t="shared" si="38"/>
        <v>9.3745901855167763E-4</v>
      </c>
      <c r="J182" s="1">
        <v>89058</v>
      </c>
      <c r="K182" s="309">
        <v>124706</v>
      </c>
      <c r="L182" s="309">
        <v>1110608</v>
      </c>
      <c r="M182" s="368">
        <f t="shared" si="39"/>
        <v>9.9096813379057742E-4</v>
      </c>
      <c r="O182" s="1">
        <v>80428</v>
      </c>
      <c r="P182" s="309">
        <v>121000</v>
      </c>
      <c r="Q182" s="309">
        <v>973178</v>
      </c>
      <c r="R182" s="368">
        <f t="shared" si="40"/>
        <v>8.4944936704488164E-4</v>
      </c>
    </row>
    <row r="183" spans="2:18" x14ac:dyDescent="0.3">
      <c r="B183" s="54" t="s">
        <v>3</v>
      </c>
      <c r="C183" s="54" t="s">
        <v>25</v>
      </c>
      <c r="E183" s="1">
        <v>54082</v>
      </c>
      <c r="F183" s="309">
        <v>263762</v>
      </c>
      <c r="G183" s="309">
        <v>1426479</v>
      </c>
      <c r="H183" s="368">
        <f t="shared" si="38"/>
        <v>3.860425243480388E-3</v>
      </c>
      <c r="J183" s="1">
        <v>41268</v>
      </c>
      <c r="K183" s="309">
        <v>286749</v>
      </c>
      <c r="L183" s="309">
        <v>1183357</v>
      </c>
      <c r="M183" s="368">
        <f t="shared" si="39"/>
        <v>3.2449002184620573E-3</v>
      </c>
      <c r="O183" s="1">
        <v>41811</v>
      </c>
      <c r="P183" s="309">
        <v>278053</v>
      </c>
      <c r="Q183" s="309">
        <v>1162568</v>
      </c>
      <c r="R183" s="368">
        <f t="shared" si="40"/>
        <v>3.1436322579326461E-3</v>
      </c>
    </row>
    <row r="184" spans="2:18" x14ac:dyDescent="0.3">
      <c r="B184" s="54" t="s">
        <v>3</v>
      </c>
      <c r="C184" s="54" t="s">
        <v>1468</v>
      </c>
      <c r="E184" s="1">
        <v>20937</v>
      </c>
      <c r="F184" s="309">
        <v>61072</v>
      </c>
      <c r="G184" s="309">
        <v>127866</v>
      </c>
      <c r="H184" s="368">
        <f t="shared" si="38"/>
        <v>1.8036533429676384E-4</v>
      </c>
      <c r="J184" s="1">
        <v>29522</v>
      </c>
      <c r="K184" s="309">
        <v>65310</v>
      </c>
      <c r="L184" s="309">
        <v>192808</v>
      </c>
      <c r="M184" s="368">
        <f t="shared" si="39"/>
        <v>2.6825534506823767E-4</v>
      </c>
      <c r="O184" s="1">
        <v>26242</v>
      </c>
      <c r="P184" s="309">
        <v>66648</v>
      </c>
      <c r="Q184" s="309">
        <v>174897</v>
      </c>
      <c r="R184" s="368">
        <f t="shared" si="40"/>
        <v>2.4564387152438297E-4</v>
      </c>
    </row>
    <row r="185" spans="2:18" x14ac:dyDescent="0.3">
      <c r="B185" s="54" t="s">
        <v>3</v>
      </c>
      <c r="C185" s="54" t="s">
        <v>27</v>
      </c>
      <c r="E185" s="1">
        <v>0</v>
      </c>
      <c r="F185" s="309"/>
      <c r="G185" s="309">
        <v>0</v>
      </c>
      <c r="H185" s="368">
        <f t="shared" si="38"/>
        <v>0</v>
      </c>
      <c r="J185" s="1">
        <v>0</v>
      </c>
      <c r="K185" s="309"/>
      <c r="L185" s="309">
        <v>0</v>
      </c>
      <c r="M185" s="368">
        <f t="shared" si="39"/>
        <v>0</v>
      </c>
      <c r="O185" s="1">
        <v>0</v>
      </c>
      <c r="P185" s="309"/>
      <c r="Q185" s="309">
        <v>0</v>
      </c>
      <c r="R185" s="368">
        <f t="shared" si="40"/>
        <v>0</v>
      </c>
    </row>
    <row r="186" spans="2:18" x14ac:dyDescent="0.3">
      <c r="B186" s="54" t="s">
        <v>3</v>
      </c>
      <c r="C186" s="54" t="s">
        <v>1469</v>
      </c>
      <c r="E186" s="1">
        <v>16383</v>
      </c>
      <c r="F186" s="309">
        <v>1080692</v>
      </c>
      <c r="G186" s="309">
        <v>1770497</v>
      </c>
      <c r="H186" s="368">
        <f t="shared" si="38"/>
        <v>5.6387157933438783E-3</v>
      </c>
      <c r="J186" s="1">
        <v>21672</v>
      </c>
      <c r="K186" s="309">
        <v>1095652</v>
      </c>
      <c r="L186" s="309">
        <v>2374496</v>
      </c>
      <c r="M186" s="368">
        <f t="shared" si="39"/>
        <v>8.6751700428443056E-3</v>
      </c>
      <c r="O186" s="1">
        <v>12919</v>
      </c>
      <c r="P186" s="309">
        <v>1016617</v>
      </c>
      <c r="Q186" s="309">
        <v>1313368</v>
      </c>
      <c r="R186" s="368">
        <f t="shared" si="40"/>
        <v>4.7158977598329441E-3</v>
      </c>
    </row>
    <row r="187" spans="2:18" x14ac:dyDescent="0.3">
      <c r="B187" s="54" t="s">
        <v>3</v>
      </c>
      <c r="C187" s="54" t="s">
        <v>26</v>
      </c>
      <c r="E187" s="1">
        <v>225042</v>
      </c>
      <c r="F187" s="309">
        <v>59966</v>
      </c>
      <c r="G187" s="309">
        <v>1349492</v>
      </c>
      <c r="H187" s="368">
        <f t="shared" si="38"/>
        <v>1.7481195051579209E-3</v>
      </c>
      <c r="J187" s="1">
        <v>236415</v>
      </c>
      <c r="K187" s="309">
        <v>62137</v>
      </c>
      <c r="L187" s="309">
        <v>1469003</v>
      </c>
      <c r="M187" s="368">
        <f t="shared" si="39"/>
        <v>2.0037291820055982E-3</v>
      </c>
      <c r="O187" s="1">
        <v>222705</v>
      </c>
      <c r="P187" s="309">
        <v>62860</v>
      </c>
      <c r="Q187" s="309">
        <v>1399919</v>
      </c>
      <c r="R187" s="368">
        <f t="shared" si="40"/>
        <v>1.8289136421444484E-3</v>
      </c>
    </row>
    <row r="188" spans="2:18" x14ac:dyDescent="0.3">
      <c r="B188" s="54" t="s">
        <v>4</v>
      </c>
      <c r="C188" s="54" t="s">
        <v>28</v>
      </c>
      <c r="E188" s="1">
        <v>294808</v>
      </c>
      <c r="F188" s="309">
        <v>165470</v>
      </c>
      <c r="G188" s="309">
        <v>4878196</v>
      </c>
      <c r="H188" s="368">
        <f t="shared" si="38"/>
        <v>1.725133041915208E-2</v>
      </c>
      <c r="J188" s="1">
        <v>297248</v>
      </c>
      <c r="K188" s="309">
        <v>165905</v>
      </c>
      <c r="L188" s="309">
        <v>4931482</v>
      </c>
      <c r="M188" s="368">
        <f t="shared" si="39"/>
        <v>1.6964160324232504E-2</v>
      </c>
      <c r="O188" s="1">
        <v>299738</v>
      </c>
      <c r="P188" s="309">
        <v>166364</v>
      </c>
      <c r="Q188" s="309">
        <v>4986557</v>
      </c>
      <c r="R188" s="368">
        <f t="shared" si="40"/>
        <v>1.6661934784739835E-2</v>
      </c>
    </row>
    <row r="189" spans="2:18" x14ac:dyDescent="0.3">
      <c r="B189" s="54" t="s">
        <v>4</v>
      </c>
      <c r="C189" s="54" t="s">
        <v>24</v>
      </c>
      <c r="E189" s="1">
        <v>42429378</v>
      </c>
      <c r="F189" s="309">
        <v>61103</v>
      </c>
      <c r="G189" s="309">
        <v>259256299</v>
      </c>
      <c r="H189" s="368">
        <f t="shared" si="38"/>
        <v>0.2287263990252866</v>
      </c>
      <c r="J189" s="1">
        <v>42158995</v>
      </c>
      <c r="K189" s="309">
        <v>61042</v>
      </c>
      <c r="L189" s="309">
        <v>257348659</v>
      </c>
      <c r="M189" s="368">
        <f t="shared" si="39"/>
        <v>0.22962586289918466</v>
      </c>
      <c r="O189" s="1">
        <v>41309740</v>
      </c>
      <c r="P189" s="309">
        <v>63171</v>
      </c>
      <c r="Q189" s="309">
        <v>260957662</v>
      </c>
      <c r="R189" s="368">
        <f t="shared" si="40"/>
        <v>0.22777983145057962</v>
      </c>
    </row>
    <row r="190" spans="2:18" x14ac:dyDescent="0.3">
      <c r="B190" s="54" t="s">
        <v>4</v>
      </c>
      <c r="C190" s="54" t="s">
        <v>1472</v>
      </c>
      <c r="E190" s="1">
        <v>49939</v>
      </c>
      <c r="F190" s="309">
        <v>133239</v>
      </c>
      <c r="G190" s="309">
        <v>665381</v>
      </c>
      <c r="H190" s="368">
        <f t="shared" si="38"/>
        <v>1.6622258562737982E-3</v>
      </c>
      <c r="J190" s="1">
        <v>50137</v>
      </c>
      <c r="K190" s="309">
        <v>132767</v>
      </c>
      <c r="L190" s="309">
        <v>665653</v>
      </c>
      <c r="M190" s="368">
        <f t="shared" si="39"/>
        <v>1.649357048260993E-3</v>
      </c>
      <c r="O190" s="1">
        <v>50337</v>
      </c>
      <c r="P190" s="309">
        <v>132293</v>
      </c>
      <c r="Q190" s="309">
        <v>665925</v>
      </c>
      <c r="R190" s="368">
        <f t="shared" si="40"/>
        <v>1.6214520666263364E-3</v>
      </c>
    </row>
    <row r="191" spans="2:18" x14ac:dyDescent="0.3">
      <c r="B191" s="54" t="s">
        <v>4</v>
      </c>
      <c r="C191" s="54" t="s">
        <v>25</v>
      </c>
      <c r="E191" s="1">
        <v>4862361</v>
      </c>
      <c r="F191" s="309">
        <v>182085</v>
      </c>
      <c r="G191" s="309">
        <v>88536429</v>
      </c>
      <c r="H191" s="368">
        <f t="shared" si="38"/>
        <v>0.2396027319569437</v>
      </c>
      <c r="J191" s="1">
        <v>4760724</v>
      </c>
      <c r="K191" s="309">
        <v>189722</v>
      </c>
      <c r="L191" s="309">
        <v>90321442</v>
      </c>
      <c r="M191" s="368">
        <f t="shared" si="39"/>
        <v>0.24767172280014232</v>
      </c>
      <c r="O191" s="1">
        <v>4914746</v>
      </c>
      <c r="P191" s="309">
        <v>186950</v>
      </c>
      <c r="Q191" s="309">
        <v>91881397</v>
      </c>
      <c r="R191" s="368">
        <f t="shared" si="40"/>
        <v>0.24845112158008464</v>
      </c>
    </row>
    <row r="192" spans="2:18" x14ac:dyDescent="0.3">
      <c r="B192" s="54" t="s">
        <v>4</v>
      </c>
      <c r="C192" s="54" t="s">
        <v>1468</v>
      </c>
      <c r="E192" s="1">
        <v>31021867</v>
      </c>
      <c r="F192" s="309">
        <v>69122</v>
      </c>
      <c r="G192" s="309">
        <v>214429949</v>
      </c>
      <c r="H192" s="368">
        <f t="shared" si="38"/>
        <v>0.30247078531136518</v>
      </c>
      <c r="J192" s="1">
        <v>30460956</v>
      </c>
      <c r="K192" s="309">
        <v>70280</v>
      </c>
      <c r="L192" s="309">
        <v>214078796</v>
      </c>
      <c r="M192" s="368">
        <f t="shared" si="39"/>
        <v>0.29784957726221351</v>
      </c>
      <c r="O192" s="1">
        <v>29960066</v>
      </c>
      <c r="P192" s="309">
        <v>70562</v>
      </c>
      <c r="Q192" s="309">
        <v>211405211</v>
      </c>
      <c r="R192" s="368">
        <f t="shared" si="40"/>
        <v>0.29691986992612263</v>
      </c>
    </row>
    <row r="193" spans="2:18" x14ac:dyDescent="0.3">
      <c r="B193" s="54" t="s">
        <v>4</v>
      </c>
      <c r="C193" s="54" t="s">
        <v>27</v>
      </c>
      <c r="E193" s="1">
        <v>8247992</v>
      </c>
      <c r="F193" s="309">
        <v>18534</v>
      </c>
      <c r="G193" s="309">
        <v>15287174</v>
      </c>
      <c r="H193" s="368">
        <f t="shared" si="38"/>
        <v>4.2577602744146646E-2</v>
      </c>
      <c r="J193" s="1">
        <v>8415791</v>
      </c>
      <c r="K193" s="309">
        <v>18978</v>
      </c>
      <c r="L193" s="309">
        <v>15971504</v>
      </c>
      <c r="M193" s="368">
        <f t="shared" si="39"/>
        <v>4.6403370418763648E-2</v>
      </c>
      <c r="O193" s="1">
        <v>8426405</v>
      </c>
      <c r="P193" s="309">
        <v>18666</v>
      </c>
      <c r="Q193" s="309">
        <v>15728776</v>
      </c>
      <c r="R193" s="368">
        <f t="shared" si="40"/>
        <v>4.7194685895704011E-2</v>
      </c>
    </row>
    <row r="194" spans="2:18" x14ac:dyDescent="0.3">
      <c r="B194" s="54" t="s">
        <v>4</v>
      </c>
      <c r="C194" s="54" t="s">
        <v>1469</v>
      </c>
      <c r="E194" s="1">
        <v>174290</v>
      </c>
      <c r="F194" s="309">
        <v>538419</v>
      </c>
      <c r="G194" s="309">
        <v>9384100</v>
      </c>
      <c r="H194" s="368">
        <f t="shared" si="38"/>
        <v>2.9886677512765223E-2</v>
      </c>
      <c r="J194" s="1">
        <v>216130</v>
      </c>
      <c r="K194" s="309">
        <v>521751</v>
      </c>
      <c r="L194" s="309">
        <v>11276600</v>
      </c>
      <c r="M194" s="368">
        <f t="shared" si="39"/>
        <v>4.1198815456053875E-2</v>
      </c>
      <c r="O194" s="1">
        <v>223357</v>
      </c>
      <c r="P194" s="309">
        <v>549475</v>
      </c>
      <c r="Q194" s="309">
        <v>12272900</v>
      </c>
      <c r="R194" s="368">
        <f t="shared" si="40"/>
        <v>4.4068183187540536E-2</v>
      </c>
    </row>
    <row r="195" spans="2:18" x14ac:dyDescent="0.3">
      <c r="B195" s="54" t="s">
        <v>4</v>
      </c>
      <c r="C195" s="54" t="s">
        <v>1470</v>
      </c>
      <c r="E195" s="1">
        <v>1379602</v>
      </c>
      <c r="F195" s="309">
        <v>760408</v>
      </c>
      <c r="G195" s="309">
        <v>104906005</v>
      </c>
      <c r="H195" s="368">
        <f t="shared" ref="H195:H258" si="41">G195/(VLOOKUP($C195,$W$5:$Z$13,2,FALSE)*10^6)</f>
        <v>5.7979095401769445E-2</v>
      </c>
      <c r="J195" s="1">
        <v>1414973</v>
      </c>
      <c r="K195" s="309">
        <v>768347</v>
      </c>
      <c r="L195" s="309">
        <v>108718971</v>
      </c>
      <c r="M195" s="368">
        <f t="shared" ref="M195:M258" si="42">L195/(VLOOKUP($C195,$W$5:$Z$13,3,FALSE)*10^6)</f>
        <v>5.7089841329871126E-2</v>
      </c>
      <c r="O195" s="1">
        <v>1422655</v>
      </c>
      <c r="P195" s="309">
        <v>772945</v>
      </c>
      <c r="Q195" s="309">
        <v>109963447</v>
      </c>
      <c r="R195" s="368">
        <f t="shared" ref="R195:R258" si="43">Q195/(VLOOKUP($C195,$W$5:$Z$13,4,FALSE)*10^6)</f>
        <v>5.7109506939628879E-2</v>
      </c>
    </row>
    <row r="196" spans="2:18" x14ac:dyDescent="0.3">
      <c r="B196" s="54" t="s">
        <v>4</v>
      </c>
      <c r="C196" s="54" t="s">
        <v>26</v>
      </c>
      <c r="E196" s="1">
        <v>24480542</v>
      </c>
      <c r="F196" s="309">
        <v>54838</v>
      </c>
      <c r="G196" s="309">
        <v>134246679</v>
      </c>
      <c r="H196" s="368">
        <f t="shared" si="41"/>
        <v>0.17390191128407895</v>
      </c>
      <c r="J196" s="1">
        <v>24268721</v>
      </c>
      <c r="K196" s="309">
        <v>54163</v>
      </c>
      <c r="L196" s="309">
        <v>131446596</v>
      </c>
      <c r="M196" s="368">
        <f t="shared" si="42"/>
        <v>0.17929397031898528</v>
      </c>
      <c r="O196" s="1">
        <v>23732560</v>
      </c>
      <c r="P196" s="309">
        <v>56294</v>
      </c>
      <c r="Q196" s="309">
        <v>133601131</v>
      </c>
      <c r="R196" s="368">
        <f t="shared" si="43"/>
        <v>0.17454219214956548</v>
      </c>
    </row>
    <row r="197" spans="2:18" x14ac:dyDescent="0.3">
      <c r="B197" s="54" t="s">
        <v>1503</v>
      </c>
      <c r="C197" s="54" t="s">
        <v>28</v>
      </c>
      <c r="E197" s="1">
        <v>89717</v>
      </c>
      <c r="F197" s="309">
        <v>117765</v>
      </c>
      <c r="G197" s="309">
        <v>1056556</v>
      </c>
      <c r="H197" s="368">
        <f t="shared" si="41"/>
        <v>3.7364215505768209E-3</v>
      </c>
      <c r="J197" s="1">
        <v>109549</v>
      </c>
      <c r="K197" s="309">
        <v>98487</v>
      </c>
      <c r="L197" s="309">
        <v>1078919</v>
      </c>
      <c r="M197" s="368">
        <f t="shared" si="42"/>
        <v>3.7114512215315008E-3</v>
      </c>
      <c r="O197" s="1">
        <v>94247</v>
      </c>
      <c r="P197" s="309">
        <v>108931</v>
      </c>
      <c r="Q197" s="309">
        <v>1026643</v>
      </c>
      <c r="R197" s="368">
        <f t="shared" si="43"/>
        <v>3.4303947018372916E-3</v>
      </c>
    </row>
    <row r="198" spans="2:18" x14ac:dyDescent="0.3">
      <c r="B198" s="54" t="s">
        <v>1503</v>
      </c>
      <c r="C198" s="54" t="s">
        <v>24</v>
      </c>
      <c r="E198" s="1">
        <v>379907</v>
      </c>
      <c r="F198" s="309">
        <v>35005</v>
      </c>
      <c r="G198" s="309">
        <v>1329856</v>
      </c>
      <c r="H198" s="368">
        <f t="shared" si="41"/>
        <v>1.1732527821905364E-3</v>
      </c>
      <c r="J198" s="1">
        <v>393949</v>
      </c>
      <c r="K198" s="309">
        <v>34988</v>
      </c>
      <c r="L198" s="309">
        <v>1378368</v>
      </c>
      <c r="M198" s="368">
        <f t="shared" si="42"/>
        <v>1.2298837795483649E-3</v>
      </c>
      <c r="O198" s="1">
        <v>372778</v>
      </c>
      <c r="P198" s="309">
        <v>37418</v>
      </c>
      <c r="Q198" s="309">
        <v>1394863</v>
      </c>
      <c r="R198" s="368">
        <f t="shared" si="43"/>
        <v>1.2175218638977912E-3</v>
      </c>
    </row>
    <row r="199" spans="2:18" x14ac:dyDescent="0.3">
      <c r="B199" s="54" t="s">
        <v>1503</v>
      </c>
      <c r="C199" s="54" t="s">
        <v>1472</v>
      </c>
      <c r="E199" s="1">
        <v>455149</v>
      </c>
      <c r="F199" s="309">
        <v>173887</v>
      </c>
      <c r="G199" s="309">
        <v>7914444</v>
      </c>
      <c r="H199" s="368">
        <f t="shared" si="41"/>
        <v>1.9771519557713585E-2</v>
      </c>
      <c r="J199" s="1">
        <v>487214</v>
      </c>
      <c r="K199" s="309">
        <v>169690</v>
      </c>
      <c r="L199" s="309">
        <v>8267513</v>
      </c>
      <c r="M199" s="368">
        <f t="shared" si="42"/>
        <v>2.0485269108889148E-2</v>
      </c>
      <c r="O199" s="1">
        <v>504117</v>
      </c>
      <c r="P199" s="309">
        <v>166436</v>
      </c>
      <c r="Q199" s="309">
        <v>8390314</v>
      </c>
      <c r="R199" s="368">
        <f t="shared" si="43"/>
        <v>2.0429465743054976E-2</v>
      </c>
    </row>
    <row r="200" spans="2:18" x14ac:dyDescent="0.3">
      <c r="B200" s="54" t="s">
        <v>1503</v>
      </c>
      <c r="C200" s="54" t="s">
        <v>25</v>
      </c>
      <c r="E200" s="1">
        <v>162879</v>
      </c>
      <c r="F200" s="309">
        <v>227565</v>
      </c>
      <c r="G200" s="309">
        <v>3706563</v>
      </c>
      <c r="H200" s="368">
        <f t="shared" si="41"/>
        <v>1.0030928861729052E-2</v>
      </c>
      <c r="J200" s="1">
        <v>134924</v>
      </c>
      <c r="K200" s="309">
        <v>223756</v>
      </c>
      <c r="L200" s="309">
        <v>3018999</v>
      </c>
      <c r="M200" s="368">
        <f t="shared" si="42"/>
        <v>8.2784404998970992E-3</v>
      </c>
      <c r="O200" s="1">
        <v>133570</v>
      </c>
      <c r="P200" s="309">
        <v>233870</v>
      </c>
      <c r="Q200" s="309">
        <v>3123804</v>
      </c>
      <c r="R200" s="368">
        <f t="shared" si="43"/>
        <v>8.4468960283261129E-3</v>
      </c>
    </row>
    <row r="201" spans="2:18" x14ac:dyDescent="0.3">
      <c r="B201" s="54" t="s">
        <v>1503</v>
      </c>
      <c r="C201" s="54" t="s">
        <v>1468</v>
      </c>
      <c r="E201" s="1">
        <v>597255</v>
      </c>
      <c r="F201" s="309">
        <v>55135</v>
      </c>
      <c r="G201" s="309">
        <v>3292983</v>
      </c>
      <c r="H201" s="368">
        <f t="shared" si="41"/>
        <v>4.645018844951436E-3</v>
      </c>
      <c r="J201" s="1">
        <v>526668</v>
      </c>
      <c r="K201" s="309">
        <v>55915</v>
      </c>
      <c r="L201" s="309">
        <v>2944860</v>
      </c>
      <c r="M201" s="368">
        <f t="shared" si="42"/>
        <v>4.0972077687525948E-3</v>
      </c>
      <c r="O201" s="1">
        <v>531158</v>
      </c>
      <c r="P201" s="309">
        <v>56712</v>
      </c>
      <c r="Q201" s="309">
        <v>3012311</v>
      </c>
      <c r="R201" s="368">
        <f t="shared" si="43"/>
        <v>4.230808626079839E-3</v>
      </c>
    </row>
    <row r="202" spans="2:18" x14ac:dyDescent="0.3">
      <c r="B202" s="54" t="s">
        <v>1503</v>
      </c>
      <c r="C202" s="54" t="s">
        <v>27</v>
      </c>
      <c r="E202" s="1">
        <v>27313</v>
      </c>
      <c r="F202" s="309">
        <v>29329</v>
      </c>
      <c r="G202" s="309">
        <v>80106</v>
      </c>
      <c r="H202" s="368">
        <f t="shared" si="41"/>
        <v>2.231100035508598E-4</v>
      </c>
      <c r="J202" s="1">
        <v>34597</v>
      </c>
      <c r="K202" s="309">
        <v>26659</v>
      </c>
      <c r="L202" s="309">
        <v>92231</v>
      </c>
      <c r="M202" s="368">
        <f t="shared" si="42"/>
        <v>2.6796657704202372E-4</v>
      </c>
      <c r="O202" s="1">
        <v>40549</v>
      </c>
      <c r="P202" s="309">
        <v>28128</v>
      </c>
      <c r="Q202" s="309">
        <v>114056</v>
      </c>
      <c r="R202" s="368">
        <f t="shared" si="43"/>
        <v>3.4222860663286306E-4</v>
      </c>
    </row>
    <row r="203" spans="2:18" x14ac:dyDescent="0.3">
      <c r="B203" s="54" t="s">
        <v>1503</v>
      </c>
      <c r="C203" s="54" t="s">
        <v>1469</v>
      </c>
      <c r="E203" s="1">
        <v>1153</v>
      </c>
      <c r="F203" s="309">
        <v>270026</v>
      </c>
      <c r="G203" s="309">
        <v>31134</v>
      </c>
      <c r="H203" s="368">
        <f t="shared" si="41"/>
        <v>9.9156212922116391E-5</v>
      </c>
      <c r="J203" s="1">
        <v>1163</v>
      </c>
      <c r="K203" s="309">
        <v>276604</v>
      </c>
      <c r="L203" s="309">
        <v>32169</v>
      </c>
      <c r="M203" s="368">
        <f t="shared" si="42"/>
        <v>1.1752874930438226E-4</v>
      </c>
      <c r="O203" s="1">
        <v>1173</v>
      </c>
      <c r="P203" s="309">
        <v>283069</v>
      </c>
      <c r="Q203" s="309">
        <v>33204</v>
      </c>
      <c r="R203" s="368">
        <f t="shared" si="43"/>
        <v>1.1922528127493062E-4</v>
      </c>
    </row>
    <row r="204" spans="2:18" x14ac:dyDescent="0.3">
      <c r="B204" s="54" t="s">
        <v>1503</v>
      </c>
      <c r="C204" s="54" t="s">
        <v>1470</v>
      </c>
      <c r="E204" s="1">
        <v>431027</v>
      </c>
      <c r="F204" s="309">
        <v>542635</v>
      </c>
      <c r="G204" s="309">
        <v>23389039</v>
      </c>
      <c r="H204" s="368">
        <f t="shared" si="41"/>
        <v>1.2926574827977733E-2</v>
      </c>
      <c r="J204" s="1">
        <v>455114</v>
      </c>
      <c r="K204" s="309">
        <v>735078</v>
      </c>
      <c r="L204" s="309">
        <v>33454409</v>
      </c>
      <c r="M204" s="368">
        <f t="shared" si="42"/>
        <v>1.7567374709558395E-2</v>
      </c>
      <c r="O204" s="1">
        <v>457783</v>
      </c>
      <c r="P204" s="309">
        <v>713503</v>
      </c>
      <c r="Q204" s="309">
        <v>32662952</v>
      </c>
      <c r="R204" s="368">
        <f t="shared" si="43"/>
        <v>1.6963501370712442E-2</v>
      </c>
    </row>
    <row r="205" spans="2:18" x14ac:dyDescent="0.3">
      <c r="B205" s="54" t="s">
        <v>1503</v>
      </c>
      <c r="C205" s="54" t="s">
        <v>26</v>
      </c>
      <c r="E205" s="1">
        <v>2616</v>
      </c>
      <c r="F205" s="309">
        <v>20944</v>
      </c>
      <c r="G205" s="309">
        <v>5479</v>
      </c>
      <c r="H205" s="368">
        <f t="shared" si="41"/>
        <v>7.0974461269575875E-6</v>
      </c>
      <c r="J205" s="1">
        <v>3388</v>
      </c>
      <c r="K205" s="309">
        <v>18887</v>
      </c>
      <c r="L205" s="309">
        <v>6399</v>
      </c>
      <c r="M205" s="368">
        <f t="shared" si="42"/>
        <v>8.7282755962062855E-6</v>
      </c>
      <c r="O205" s="1">
        <v>2733</v>
      </c>
      <c r="P205" s="309">
        <v>20798</v>
      </c>
      <c r="Q205" s="309">
        <v>5684</v>
      </c>
      <c r="R205" s="368">
        <f t="shared" si="43"/>
        <v>7.4258190237785505E-6</v>
      </c>
    </row>
    <row r="206" spans="2:18" x14ac:dyDescent="0.3">
      <c r="B206" s="54" t="s">
        <v>1504</v>
      </c>
      <c r="C206" s="54" t="s">
        <v>28</v>
      </c>
      <c r="E206" s="1">
        <v>11381</v>
      </c>
      <c r="F206" s="309">
        <v>56597</v>
      </c>
      <c r="G206" s="309">
        <v>64413</v>
      </c>
      <c r="H206" s="368">
        <f t="shared" si="41"/>
        <v>2.2779116425187569E-4</v>
      </c>
      <c r="J206" s="1">
        <v>11415</v>
      </c>
      <c r="K206" s="309">
        <v>56717</v>
      </c>
      <c r="L206" s="309">
        <v>64742</v>
      </c>
      <c r="M206" s="368">
        <f t="shared" si="42"/>
        <v>2.2271067150026315E-4</v>
      </c>
      <c r="O206" s="1">
        <v>11449</v>
      </c>
      <c r="P206" s="309">
        <v>56836</v>
      </c>
      <c r="Q206" s="309">
        <v>65071</v>
      </c>
      <c r="R206" s="368">
        <f t="shared" si="43"/>
        <v>2.1742632409051091E-4</v>
      </c>
    </row>
    <row r="207" spans="2:18" x14ac:dyDescent="0.3">
      <c r="B207" s="54" t="s">
        <v>1504</v>
      </c>
      <c r="C207" s="54" t="s">
        <v>24</v>
      </c>
      <c r="E207" s="1">
        <v>3309</v>
      </c>
      <c r="F207" s="309">
        <v>20366</v>
      </c>
      <c r="G207" s="309">
        <v>6739</v>
      </c>
      <c r="H207" s="368">
        <f t="shared" si="41"/>
        <v>5.9454185259020706E-6</v>
      </c>
      <c r="J207" s="1">
        <v>3428</v>
      </c>
      <c r="K207" s="309">
        <v>20300</v>
      </c>
      <c r="L207" s="309">
        <v>6959</v>
      </c>
      <c r="M207" s="368">
        <f t="shared" si="42"/>
        <v>6.2093441097566628E-6</v>
      </c>
      <c r="O207" s="1">
        <v>3547</v>
      </c>
      <c r="P207" s="309">
        <v>20240</v>
      </c>
      <c r="Q207" s="309">
        <v>7179</v>
      </c>
      <c r="R207" s="368">
        <f t="shared" si="43"/>
        <v>6.2662709247590936E-6</v>
      </c>
    </row>
    <row r="208" spans="2:18" x14ac:dyDescent="0.3">
      <c r="B208" s="54" t="s">
        <v>1504</v>
      </c>
      <c r="C208" s="54" t="s">
        <v>25</v>
      </c>
      <c r="E208" s="1">
        <v>44</v>
      </c>
      <c r="F208" s="309">
        <v>150682</v>
      </c>
      <c r="G208" s="309">
        <v>663</v>
      </c>
      <c r="H208" s="368">
        <f t="shared" si="41"/>
        <v>1.7942513955182636E-6</v>
      </c>
      <c r="J208" s="1">
        <v>44</v>
      </c>
      <c r="K208" s="309">
        <v>150682</v>
      </c>
      <c r="L208" s="309">
        <v>663</v>
      </c>
      <c r="M208" s="368">
        <f t="shared" si="42"/>
        <v>1.8180218183019528E-6</v>
      </c>
      <c r="O208" s="1">
        <v>44</v>
      </c>
      <c r="P208" s="309">
        <v>151364</v>
      </c>
      <c r="Q208" s="309">
        <v>666</v>
      </c>
      <c r="R208" s="368">
        <f t="shared" si="43"/>
        <v>1.8008917188354938E-6</v>
      </c>
    </row>
    <row r="209" spans="2:18" x14ac:dyDescent="0.3">
      <c r="B209" s="54" t="s">
        <v>1504</v>
      </c>
      <c r="C209" s="54" t="s">
        <v>1468</v>
      </c>
      <c r="E209" s="1">
        <v>25887</v>
      </c>
      <c r="F209" s="309">
        <v>12736</v>
      </c>
      <c r="G209" s="309">
        <v>32970</v>
      </c>
      <c r="H209" s="368">
        <f t="shared" si="41"/>
        <v>4.6506851483305209E-5</v>
      </c>
      <c r="J209" s="1">
        <v>26799</v>
      </c>
      <c r="K209" s="309">
        <v>12777</v>
      </c>
      <c r="L209" s="309">
        <v>34240</v>
      </c>
      <c r="M209" s="368">
        <f t="shared" si="42"/>
        <v>4.76383916390215E-5</v>
      </c>
      <c r="O209" s="1">
        <v>27706</v>
      </c>
      <c r="P209" s="309">
        <v>12817</v>
      </c>
      <c r="Q209" s="309">
        <v>35510</v>
      </c>
      <c r="R209" s="368">
        <f t="shared" si="43"/>
        <v>4.9874005144918661E-5</v>
      </c>
    </row>
    <row r="210" spans="2:18" x14ac:dyDescent="0.3">
      <c r="B210" s="54" t="s">
        <v>1505</v>
      </c>
      <c r="C210" s="54" t="s">
        <v>28</v>
      </c>
      <c r="E210" s="1">
        <v>132197</v>
      </c>
      <c r="F210" s="309">
        <v>106462</v>
      </c>
      <c r="G210" s="309">
        <v>1407402</v>
      </c>
      <c r="H210" s="368">
        <f t="shared" si="41"/>
        <v>4.977158960930532E-3</v>
      </c>
      <c r="J210" s="1">
        <v>133325</v>
      </c>
      <c r="K210" s="309">
        <v>107423</v>
      </c>
      <c r="L210" s="309">
        <v>1432215</v>
      </c>
      <c r="M210" s="368">
        <f t="shared" si="42"/>
        <v>4.9267795925789963E-3</v>
      </c>
      <c r="O210" s="1">
        <v>134433</v>
      </c>
      <c r="P210" s="309">
        <v>108383</v>
      </c>
      <c r="Q210" s="309">
        <v>1457028</v>
      </c>
      <c r="R210" s="368">
        <f t="shared" si="43"/>
        <v>4.8684704728212099E-3</v>
      </c>
    </row>
    <row r="211" spans="2:18" x14ac:dyDescent="0.3">
      <c r="B211" s="54" t="s">
        <v>1505</v>
      </c>
      <c r="C211" s="54" t="s">
        <v>24</v>
      </c>
      <c r="E211" s="1">
        <v>13869</v>
      </c>
      <c r="F211" s="309">
        <v>9172</v>
      </c>
      <c r="G211" s="309">
        <v>12720</v>
      </c>
      <c r="H211" s="368">
        <f t="shared" si="41"/>
        <v>1.1222098775704755E-5</v>
      </c>
      <c r="J211" s="1">
        <v>14033</v>
      </c>
      <c r="K211" s="309">
        <v>9382</v>
      </c>
      <c r="L211" s="309">
        <v>13166</v>
      </c>
      <c r="M211" s="368">
        <f t="shared" si="42"/>
        <v>1.1747697161812935E-5</v>
      </c>
      <c r="O211" s="1">
        <v>14000</v>
      </c>
      <c r="P211" s="309">
        <v>10000</v>
      </c>
      <c r="Q211" s="309">
        <v>14000</v>
      </c>
      <c r="R211" s="368">
        <f t="shared" si="43"/>
        <v>1.2220057521469191E-5</v>
      </c>
    </row>
    <row r="212" spans="2:18" x14ac:dyDescent="0.3">
      <c r="B212" s="54" t="s">
        <v>1505</v>
      </c>
      <c r="C212" s="54" t="s">
        <v>1472</v>
      </c>
      <c r="E212" s="1">
        <v>12264</v>
      </c>
      <c r="F212" s="309">
        <v>124372</v>
      </c>
      <c r="G212" s="309">
        <v>152530</v>
      </c>
      <c r="H212" s="368">
        <f t="shared" si="41"/>
        <v>3.81043807769447E-4</v>
      </c>
      <c r="J212" s="1">
        <v>12400</v>
      </c>
      <c r="K212" s="309">
        <v>124322</v>
      </c>
      <c r="L212" s="309">
        <v>154159</v>
      </c>
      <c r="M212" s="368">
        <f t="shared" si="42"/>
        <v>3.8197564377065294E-4</v>
      </c>
      <c r="O212" s="1">
        <v>12537</v>
      </c>
      <c r="P212" s="309">
        <v>124263</v>
      </c>
      <c r="Q212" s="309">
        <v>155789</v>
      </c>
      <c r="R212" s="368">
        <f t="shared" si="43"/>
        <v>3.7932859707572226E-4</v>
      </c>
    </row>
    <row r="213" spans="2:18" x14ac:dyDescent="0.3">
      <c r="B213" s="54" t="s">
        <v>1505</v>
      </c>
      <c r="C213" s="54" t="s">
        <v>25</v>
      </c>
      <c r="E213" s="1">
        <v>673</v>
      </c>
      <c r="F213" s="309">
        <v>86493</v>
      </c>
      <c r="G213" s="309">
        <v>5821</v>
      </c>
      <c r="H213" s="368">
        <f t="shared" si="41"/>
        <v>1.5753148376035918E-5</v>
      </c>
      <c r="J213" s="1">
        <v>684</v>
      </c>
      <c r="K213" s="309">
        <v>86506</v>
      </c>
      <c r="L213" s="309">
        <v>5917</v>
      </c>
      <c r="M213" s="368">
        <f t="shared" si="42"/>
        <v>1.6225090646896915E-5</v>
      </c>
      <c r="O213" s="1">
        <v>694</v>
      </c>
      <c r="P213" s="309">
        <v>86643</v>
      </c>
      <c r="Q213" s="309">
        <v>6013</v>
      </c>
      <c r="R213" s="368">
        <f t="shared" si="43"/>
        <v>1.6259402260297034E-5</v>
      </c>
    </row>
    <row r="214" spans="2:18" x14ac:dyDescent="0.3">
      <c r="B214" s="54" t="s">
        <v>1505</v>
      </c>
      <c r="C214" s="54" t="s">
        <v>1468</v>
      </c>
      <c r="E214" s="1">
        <v>2023</v>
      </c>
      <c r="F214" s="309">
        <v>6026</v>
      </c>
      <c r="G214" s="309">
        <v>1219</v>
      </c>
      <c r="H214" s="368">
        <f t="shared" si="41"/>
        <v>1.7194980879026099E-6</v>
      </c>
      <c r="J214" s="1">
        <v>2026</v>
      </c>
      <c r="K214" s="309">
        <v>6002</v>
      </c>
      <c r="L214" s="309">
        <v>1216</v>
      </c>
      <c r="M214" s="368">
        <f t="shared" si="42"/>
        <v>1.6918307311054366E-6</v>
      </c>
      <c r="O214" s="1">
        <v>2030</v>
      </c>
      <c r="P214" s="309">
        <v>5980</v>
      </c>
      <c r="Q214" s="309">
        <v>1214</v>
      </c>
      <c r="R214" s="368">
        <f t="shared" si="43"/>
        <v>1.7050701843405028E-6</v>
      </c>
    </row>
    <row r="215" spans="2:18" x14ac:dyDescent="0.3">
      <c r="B215" s="54" t="s">
        <v>1505</v>
      </c>
      <c r="C215" s="54" t="s">
        <v>1469</v>
      </c>
      <c r="E215" s="1">
        <v>0</v>
      </c>
      <c r="F215" s="309"/>
      <c r="G215" s="309">
        <v>0</v>
      </c>
      <c r="H215" s="368">
        <f t="shared" si="41"/>
        <v>0</v>
      </c>
      <c r="J215" s="1">
        <v>0</v>
      </c>
      <c r="K215" s="309"/>
      <c r="L215" s="309">
        <v>0</v>
      </c>
      <c r="M215" s="368">
        <f t="shared" si="42"/>
        <v>0</v>
      </c>
      <c r="O215" s="1">
        <v>0</v>
      </c>
      <c r="P215" s="309"/>
      <c r="Q215" s="309">
        <v>0</v>
      </c>
      <c r="R215" s="368">
        <f t="shared" si="43"/>
        <v>0</v>
      </c>
    </row>
    <row r="216" spans="2:18" x14ac:dyDescent="0.3">
      <c r="B216" s="54" t="s">
        <v>1505</v>
      </c>
      <c r="C216" s="54" t="s">
        <v>1470</v>
      </c>
      <c r="E216" s="1">
        <v>19316</v>
      </c>
      <c r="F216" s="309">
        <v>357255</v>
      </c>
      <c r="G216" s="309">
        <v>690073</v>
      </c>
      <c r="H216" s="368">
        <f t="shared" si="41"/>
        <v>3.8138720754055257E-4</v>
      </c>
      <c r="J216" s="1">
        <v>19579</v>
      </c>
      <c r="K216" s="309">
        <v>356813</v>
      </c>
      <c r="L216" s="309">
        <v>698604</v>
      </c>
      <c r="M216" s="368">
        <f t="shared" si="42"/>
        <v>3.6684666112608155E-4</v>
      </c>
      <c r="O216" s="1">
        <v>19843</v>
      </c>
      <c r="P216" s="309">
        <v>356365</v>
      </c>
      <c r="Q216" s="309">
        <v>707136</v>
      </c>
      <c r="R216" s="368">
        <f t="shared" si="43"/>
        <v>3.6725102205336843E-4</v>
      </c>
    </row>
    <row r="217" spans="2:18" x14ac:dyDescent="0.3">
      <c r="B217" s="54" t="s">
        <v>1506</v>
      </c>
      <c r="C217" s="54" t="s">
        <v>28</v>
      </c>
      <c r="E217" s="1">
        <v>50</v>
      </c>
      <c r="F217" s="309">
        <v>151600</v>
      </c>
      <c r="G217" s="309">
        <v>758</v>
      </c>
      <c r="H217" s="368">
        <f t="shared" si="41"/>
        <v>2.6806033332234451E-6</v>
      </c>
      <c r="J217" s="1">
        <v>53</v>
      </c>
      <c r="K217" s="309">
        <v>139245</v>
      </c>
      <c r="L217" s="309">
        <v>738</v>
      </c>
      <c r="M217" s="368">
        <f t="shared" si="42"/>
        <v>2.5386993847455163E-6</v>
      </c>
      <c r="O217" s="1">
        <v>56</v>
      </c>
      <c r="P217" s="309">
        <v>128214</v>
      </c>
      <c r="Q217" s="309">
        <v>718</v>
      </c>
      <c r="R217" s="368">
        <f t="shared" si="43"/>
        <v>2.3991040662812443E-6</v>
      </c>
    </row>
    <row r="218" spans="2:18" x14ac:dyDescent="0.3">
      <c r="B218" s="54" t="s">
        <v>1507</v>
      </c>
      <c r="C218" s="54" t="s">
        <v>28</v>
      </c>
      <c r="E218" s="1">
        <v>9996</v>
      </c>
      <c r="F218" s="309">
        <v>150000</v>
      </c>
      <c r="G218" s="309">
        <v>149940</v>
      </c>
      <c r="H218" s="368">
        <f t="shared" si="41"/>
        <v>5.302502160732498E-4</v>
      </c>
      <c r="J218" s="1">
        <v>10636</v>
      </c>
      <c r="K218" s="309">
        <v>150000</v>
      </c>
      <c r="L218" s="309">
        <v>159540</v>
      </c>
      <c r="M218" s="368">
        <f t="shared" si="42"/>
        <v>5.4881314341775022E-4</v>
      </c>
      <c r="O218" s="1">
        <v>10672</v>
      </c>
      <c r="P218" s="309">
        <v>149795</v>
      </c>
      <c r="Q218" s="309">
        <v>159861</v>
      </c>
      <c r="R218" s="368">
        <f t="shared" si="43"/>
        <v>5.3415484002755707E-4</v>
      </c>
    </row>
    <row r="219" spans="2:18" x14ac:dyDescent="0.3">
      <c r="B219" s="54" t="s">
        <v>1507</v>
      </c>
      <c r="C219" s="54" t="s">
        <v>24</v>
      </c>
      <c r="E219" s="1">
        <v>4439</v>
      </c>
      <c r="F219" s="309">
        <v>15139</v>
      </c>
      <c r="G219" s="309">
        <v>6720</v>
      </c>
      <c r="H219" s="368">
        <f t="shared" si="41"/>
        <v>5.9286559569760966E-6</v>
      </c>
      <c r="J219" s="1">
        <v>3377</v>
      </c>
      <c r="K219" s="309">
        <v>16624</v>
      </c>
      <c r="L219" s="309">
        <v>5614</v>
      </c>
      <c r="M219" s="368">
        <f t="shared" si="42"/>
        <v>5.009233773843067E-6</v>
      </c>
      <c r="O219" s="1">
        <v>3460</v>
      </c>
      <c r="P219" s="309">
        <v>18038</v>
      </c>
      <c r="Q219" s="309">
        <v>6241</v>
      </c>
      <c r="R219" s="368">
        <f t="shared" si="43"/>
        <v>5.4475270708206581E-6</v>
      </c>
    </row>
    <row r="220" spans="2:18" x14ac:dyDescent="0.3">
      <c r="B220" s="54" t="s">
        <v>1507</v>
      </c>
      <c r="C220" s="54" t="s">
        <v>1472</v>
      </c>
      <c r="E220" s="1">
        <v>76860</v>
      </c>
      <c r="F220" s="309">
        <v>142571</v>
      </c>
      <c r="G220" s="309">
        <v>1095800</v>
      </c>
      <c r="H220" s="368">
        <f t="shared" si="41"/>
        <v>2.7374798698863176E-3</v>
      </c>
      <c r="J220" s="1">
        <v>76910</v>
      </c>
      <c r="K220" s="309">
        <v>141438</v>
      </c>
      <c r="L220" s="309">
        <v>1087800</v>
      </c>
      <c r="M220" s="368">
        <f t="shared" si="42"/>
        <v>2.6953541816807079E-3</v>
      </c>
      <c r="O220" s="1">
        <v>76720</v>
      </c>
      <c r="P220" s="309">
        <v>141006</v>
      </c>
      <c r="Q220" s="309">
        <v>1081800</v>
      </c>
      <c r="R220" s="368">
        <f t="shared" si="43"/>
        <v>2.6340606609999186E-3</v>
      </c>
    </row>
    <row r="221" spans="2:18" x14ac:dyDescent="0.3">
      <c r="B221" s="54" t="s">
        <v>1507</v>
      </c>
      <c r="C221" s="54" t="s">
        <v>25</v>
      </c>
      <c r="E221" s="1">
        <v>3504</v>
      </c>
      <c r="F221" s="309">
        <v>255765</v>
      </c>
      <c r="G221" s="309">
        <v>89620</v>
      </c>
      <c r="H221" s="368">
        <f t="shared" si="41"/>
        <v>2.4253515847111128E-4</v>
      </c>
      <c r="J221" s="1">
        <v>3682</v>
      </c>
      <c r="K221" s="309">
        <v>254120</v>
      </c>
      <c r="L221" s="309">
        <v>93567</v>
      </c>
      <c r="M221" s="368">
        <f t="shared" si="42"/>
        <v>2.5657141398651405E-4</v>
      </c>
      <c r="O221" s="1">
        <v>3328</v>
      </c>
      <c r="P221" s="309">
        <v>251836</v>
      </c>
      <c r="Q221" s="309">
        <v>83811</v>
      </c>
      <c r="R221" s="368">
        <f t="shared" si="43"/>
        <v>2.2662843220318553E-4</v>
      </c>
    </row>
    <row r="222" spans="2:18" x14ac:dyDescent="0.3">
      <c r="B222" s="54" t="s">
        <v>1507</v>
      </c>
      <c r="C222" s="54" t="s">
        <v>1468</v>
      </c>
      <c r="E222" s="1">
        <v>38330</v>
      </c>
      <c r="F222" s="309">
        <v>39878</v>
      </c>
      <c r="G222" s="309">
        <v>152851</v>
      </c>
      <c r="H222" s="368">
        <f t="shared" si="41"/>
        <v>2.1560869748482513E-4</v>
      </c>
      <c r="J222" s="1">
        <v>38772</v>
      </c>
      <c r="K222" s="309">
        <v>40831</v>
      </c>
      <c r="L222" s="309">
        <v>158311</v>
      </c>
      <c r="M222" s="368">
        <f t="shared" si="42"/>
        <v>2.2025938723029009E-4</v>
      </c>
      <c r="O222" s="1">
        <v>31657</v>
      </c>
      <c r="P222" s="309">
        <v>48585</v>
      </c>
      <c r="Q222" s="309">
        <v>153805</v>
      </c>
      <c r="R222" s="368">
        <f t="shared" si="43"/>
        <v>2.1602003270386412E-4</v>
      </c>
    </row>
    <row r="223" spans="2:18" x14ac:dyDescent="0.3">
      <c r="B223" s="54" t="s">
        <v>1507</v>
      </c>
      <c r="C223" s="54" t="s">
        <v>27</v>
      </c>
      <c r="E223" s="1">
        <v>0</v>
      </c>
      <c r="F223" s="309"/>
      <c r="G223" s="309">
        <v>0</v>
      </c>
      <c r="H223" s="368">
        <f t="shared" si="41"/>
        <v>0</v>
      </c>
      <c r="J223" s="1">
        <v>0</v>
      </c>
      <c r="K223" s="309"/>
      <c r="L223" s="309">
        <v>0</v>
      </c>
      <c r="M223" s="368">
        <f t="shared" si="42"/>
        <v>0</v>
      </c>
      <c r="O223" s="1">
        <v>0</v>
      </c>
      <c r="P223" s="309"/>
      <c r="Q223" s="309">
        <v>0</v>
      </c>
      <c r="R223" s="368">
        <f t="shared" si="43"/>
        <v>0</v>
      </c>
    </row>
    <row r="224" spans="2:18" x14ac:dyDescent="0.3">
      <c r="B224" s="54" t="s">
        <v>1507</v>
      </c>
      <c r="C224" s="54" t="s">
        <v>1470</v>
      </c>
      <c r="E224" s="1">
        <v>64250</v>
      </c>
      <c r="F224" s="309">
        <v>647217</v>
      </c>
      <c r="G224" s="309">
        <v>4158370</v>
      </c>
      <c r="H224" s="368">
        <f t="shared" si="41"/>
        <v>2.298233842246266E-3</v>
      </c>
      <c r="J224" s="1">
        <v>60000</v>
      </c>
      <c r="K224" s="309">
        <v>690357</v>
      </c>
      <c r="L224" s="309">
        <v>4142143</v>
      </c>
      <c r="M224" s="368">
        <f t="shared" si="42"/>
        <v>2.1750968065696315E-3</v>
      </c>
      <c r="O224" s="1">
        <v>62630</v>
      </c>
      <c r="P224" s="309">
        <v>705925</v>
      </c>
      <c r="Q224" s="309">
        <v>4421210</v>
      </c>
      <c r="R224" s="368">
        <f t="shared" si="43"/>
        <v>2.2961550411979776E-3</v>
      </c>
    </row>
    <row r="225" spans="2:18" x14ac:dyDescent="0.3">
      <c r="B225" s="54" t="s">
        <v>1855</v>
      </c>
      <c r="C225" s="54" t="s">
        <v>28</v>
      </c>
      <c r="E225" s="1">
        <v>865908</v>
      </c>
      <c r="F225" s="309">
        <v>61981</v>
      </c>
      <c r="G225" s="309">
        <v>5367000</v>
      </c>
      <c r="H225" s="368">
        <f t="shared" si="41"/>
        <v>1.897994470898447E-2</v>
      </c>
      <c r="J225" s="1">
        <v>914810</v>
      </c>
      <c r="K225" s="309">
        <v>61219</v>
      </c>
      <c r="L225" s="309">
        <v>5600350</v>
      </c>
      <c r="M225" s="368">
        <f t="shared" si="42"/>
        <v>1.9265047560107794E-2</v>
      </c>
      <c r="O225" s="1">
        <v>866452</v>
      </c>
      <c r="P225" s="309">
        <v>60456</v>
      </c>
      <c r="Q225" s="309">
        <v>5238244</v>
      </c>
      <c r="R225" s="368">
        <f t="shared" si="43"/>
        <v>1.7502914318347256E-2</v>
      </c>
    </row>
    <row r="226" spans="2:18" x14ac:dyDescent="0.3">
      <c r="B226" s="54" t="s">
        <v>1855</v>
      </c>
      <c r="C226" s="54" t="s">
        <v>24</v>
      </c>
      <c r="E226" s="1">
        <v>503839</v>
      </c>
      <c r="F226" s="309">
        <v>20344</v>
      </c>
      <c r="G226" s="309">
        <v>1025000</v>
      </c>
      <c r="H226" s="368">
        <f t="shared" si="41"/>
        <v>9.0429648153281239E-4</v>
      </c>
      <c r="J226" s="1">
        <v>520020</v>
      </c>
      <c r="K226" s="309">
        <v>20288</v>
      </c>
      <c r="L226" s="309">
        <v>1055000</v>
      </c>
      <c r="M226" s="368">
        <f t="shared" si="42"/>
        <v>9.4135048653445593E-4</v>
      </c>
      <c r="O226" s="1">
        <v>543706</v>
      </c>
      <c r="P226" s="309">
        <v>20232</v>
      </c>
      <c r="Q226" s="309">
        <v>1100000</v>
      </c>
      <c r="R226" s="368">
        <f t="shared" si="43"/>
        <v>9.6014737668686492E-4</v>
      </c>
    </row>
    <row r="227" spans="2:18" x14ac:dyDescent="0.3">
      <c r="B227" s="54" t="s">
        <v>1855</v>
      </c>
      <c r="C227" s="54" t="s">
        <v>1472</v>
      </c>
      <c r="E227" s="1">
        <v>349248</v>
      </c>
      <c r="F227" s="309">
        <v>63766</v>
      </c>
      <c r="G227" s="309">
        <v>2227000</v>
      </c>
      <c r="H227" s="368">
        <f t="shared" si="41"/>
        <v>5.5633944791356358E-3</v>
      </c>
      <c r="J227" s="1">
        <v>332544</v>
      </c>
      <c r="K227" s="309">
        <v>65209</v>
      </c>
      <c r="L227" s="309">
        <v>2168495</v>
      </c>
      <c r="M227" s="368">
        <f t="shared" si="42"/>
        <v>5.3731035725351232E-3</v>
      </c>
      <c r="O227" s="1">
        <v>315055</v>
      </c>
      <c r="P227" s="309">
        <v>65232</v>
      </c>
      <c r="Q227" s="309">
        <v>2055162</v>
      </c>
      <c r="R227" s="368">
        <f t="shared" si="43"/>
        <v>5.0040870550766454E-3</v>
      </c>
    </row>
    <row r="228" spans="2:18" x14ac:dyDescent="0.3">
      <c r="B228" s="54" t="s">
        <v>1855</v>
      </c>
      <c r="C228" s="54" t="s">
        <v>25</v>
      </c>
      <c r="E228" s="1">
        <v>0</v>
      </c>
      <c r="F228" s="309"/>
      <c r="G228" s="309">
        <v>0</v>
      </c>
      <c r="H228" s="368">
        <f t="shared" si="41"/>
        <v>0</v>
      </c>
      <c r="J228" s="1">
        <v>0</v>
      </c>
      <c r="K228" s="309"/>
      <c r="L228" s="309">
        <v>0</v>
      </c>
      <c r="M228" s="368">
        <f t="shared" si="42"/>
        <v>0</v>
      </c>
      <c r="O228" s="1">
        <v>0</v>
      </c>
      <c r="P228" s="309"/>
      <c r="Q228" s="309">
        <v>0</v>
      </c>
      <c r="R228" s="368">
        <f t="shared" si="43"/>
        <v>0</v>
      </c>
    </row>
    <row r="229" spans="2:18" x14ac:dyDescent="0.3">
      <c r="B229" s="54" t="s">
        <v>1855</v>
      </c>
      <c r="C229" s="54" t="s">
        <v>1468</v>
      </c>
      <c r="E229" s="1">
        <v>813790</v>
      </c>
      <c r="F229" s="309">
        <v>26051</v>
      </c>
      <c r="G229" s="309">
        <v>2120000</v>
      </c>
      <c r="H229" s="368">
        <f t="shared" si="41"/>
        <v>2.99043145722193E-3</v>
      </c>
      <c r="J229" s="1">
        <v>756623</v>
      </c>
      <c r="K229" s="309">
        <v>26526</v>
      </c>
      <c r="L229" s="309">
        <v>2007000</v>
      </c>
      <c r="M229" s="368">
        <f t="shared" si="42"/>
        <v>2.7923554912241866E-3</v>
      </c>
      <c r="O229" s="1">
        <v>697886</v>
      </c>
      <c r="P229" s="309">
        <v>26996</v>
      </c>
      <c r="Q229" s="309">
        <v>1884000</v>
      </c>
      <c r="R229" s="368">
        <f t="shared" si="43"/>
        <v>2.6460891493389682E-3</v>
      </c>
    </row>
    <row r="230" spans="2:18" x14ac:dyDescent="0.3">
      <c r="B230" s="54" t="s">
        <v>1855</v>
      </c>
      <c r="C230" s="54" t="s">
        <v>27</v>
      </c>
      <c r="E230" s="1">
        <v>395</v>
      </c>
      <c r="F230" s="309">
        <v>14481</v>
      </c>
      <c r="G230" s="309">
        <v>572</v>
      </c>
      <c r="H230" s="368">
        <f t="shared" si="41"/>
        <v>1.5931256339236987E-6</v>
      </c>
      <c r="J230" s="1">
        <v>252</v>
      </c>
      <c r="K230" s="309">
        <v>14405</v>
      </c>
      <c r="L230" s="309">
        <v>363</v>
      </c>
      <c r="M230" s="368">
        <f t="shared" si="42"/>
        <v>1.0546548065862304E-6</v>
      </c>
      <c r="O230" s="1">
        <v>271</v>
      </c>
      <c r="P230" s="309">
        <v>14502</v>
      </c>
      <c r="Q230" s="309">
        <v>393</v>
      </c>
      <c r="R230" s="368">
        <f t="shared" si="43"/>
        <v>1.1792088308086832E-6</v>
      </c>
    </row>
    <row r="231" spans="2:18" x14ac:dyDescent="0.3">
      <c r="B231" s="54" t="s">
        <v>1855</v>
      </c>
      <c r="C231" s="54" t="s">
        <v>1470</v>
      </c>
      <c r="E231" s="1">
        <v>22800</v>
      </c>
      <c r="F231" s="309">
        <v>800886</v>
      </c>
      <c r="G231" s="309">
        <v>1826020</v>
      </c>
      <c r="H231" s="368">
        <f t="shared" si="41"/>
        <v>1.0091985466946247E-3</v>
      </c>
      <c r="J231" s="1">
        <v>24169</v>
      </c>
      <c r="K231" s="309">
        <v>811324</v>
      </c>
      <c r="L231" s="309">
        <v>1960890</v>
      </c>
      <c r="M231" s="368">
        <f t="shared" si="42"/>
        <v>1.0296905676685532E-3</v>
      </c>
      <c r="O231" s="1">
        <v>23953</v>
      </c>
      <c r="P231" s="309">
        <v>821756</v>
      </c>
      <c r="Q231" s="309">
        <v>1968353</v>
      </c>
      <c r="R231" s="368">
        <f t="shared" si="43"/>
        <v>1.0222639647985874E-3</v>
      </c>
    </row>
    <row r="232" spans="2:18" x14ac:dyDescent="0.3">
      <c r="B232" s="54" t="s">
        <v>1508</v>
      </c>
      <c r="C232" s="54" t="s">
        <v>24</v>
      </c>
      <c r="E232" s="1">
        <v>247119</v>
      </c>
      <c r="F232" s="309">
        <v>63113</v>
      </c>
      <c r="G232" s="309">
        <v>1559638</v>
      </c>
      <c r="H232" s="368">
        <f t="shared" si="41"/>
        <v>1.3759757618193877E-3</v>
      </c>
      <c r="J232" s="1">
        <v>235350</v>
      </c>
      <c r="K232" s="309">
        <v>91238</v>
      </c>
      <c r="L232" s="309">
        <v>2147280</v>
      </c>
      <c r="M232" s="368">
        <f t="shared" si="42"/>
        <v>1.9159649978442717E-3</v>
      </c>
      <c r="O232" s="1">
        <v>255890</v>
      </c>
      <c r="P232" s="309">
        <v>89817</v>
      </c>
      <c r="Q232" s="309">
        <v>2298320</v>
      </c>
      <c r="R232" s="368">
        <f t="shared" si="43"/>
        <v>2.0061144716245049E-3</v>
      </c>
    </row>
    <row r="233" spans="2:18" x14ac:dyDescent="0.3">
      <c r="B233" s="54" t="s">
        <v>1508</v>
      </c>
      <c r="C233" s="54" t="s">
        <v>25</v>
      </c>
      <c r="E233" s="1">
        <v>9833</v>
      </c>
      <c r="F233" s="309">
        <v>158740</v>
      </c>
      <c r="G233" s="309">
        <v>156089</v>
      </c>
      <c r="H233" s="368">
        <f t="shared" si="41"/>
        <v>4.2241765622179524E-4</v>
      </c>
      <c r="J233" s="1">
        <v>9270</v>
      </c>
      <c r="K233" s="309">
        <v>196613</v>
      </c>
      <c r="L233" s="309">
        <v>182260</v>
      </c>
      <c r="M233" s="368">
        <f t="shared" si="42"/>
        <v>4.9977776259987016E-4</v>
      </c>
      <c r="O233" s="1">
        <v>9390</v>
      </c>
      <c r="P233" s="309">
        <v>184398</v>
      </c>
      <c r="Q233" s="309">
        <v>173150</v>
      </c>
      <c r="R233" s="368">
        <f t="shared" si="43"/>
        <v>4.6820480648102964E-4</v>
      </c>
    </row>
    <row r="234" spans="2:18" x14ac:dyDescent="0.3">
      <c r="B234" s="54" t="s">
        <v>1508</v>
      </c>
      <c r="C234" s="54" t="s">
        <v>1468</v>
      </c>
      <c r="E234" s="1"/>
      <c r="F234" s="309"/>
      <c r="G234" s="309"/>
      <c r="H234" s="368">
        <f t="shared" si="41"/>
        <v>0</v>
      </c>
      <c r="J234" s="1">
        <v>0</v>
      </c>
      <c r="K234" s="309"/>
      <c r="L234" s="309">
        <v>0</v>
      </c>
      <c r="M234" s="368">
        <f t="shared" si="42"/>
        <v>0</v>
      </c>
      <c r="O234" s="1">
        <v>0</v>
      </c>
      <c r="P234" s="309"/>
      <c r="Q234" s="309">
        <v>0</v>
      </c>
      <c r="R234" s="368">
        <f t="shared" si="43"/>
        <v>0</v>
      </c>
    </row>
    <row r="235" spans="2:18" x14ac:dyDescent="0.3">
      <c r="B235" s="54" t="s">
        <v>1508</v>
      </c>
      <c r="C235" s="54" t="s">
        <v>27</v>
      </c>
      <c r="E235" s="1">
        <v>85133</v>
      </c>
      <c r="F235" s="309">
        <v>24405</v>
      </c>
      <c r="G235" s="309">
        <v>207765</v>
      </c>
      <c r="H235" s="368">
        <f t="shared" si="41"/>
        <v>5.7866389393733788E-4</v>
      </c>
      <c r="J235" s="1">
        <v>77090</v>
      </c>
      <c r="K235" s="309">
        <v>31806</v>
      </c>
      <c r="L235" s="309">
        <v>245190</v>
      </c>
      <c r="M235" s="368">
        <f t="shared" si="42"/>
        <v>7.1237138299415381E-4</v>
      </c>
      <c r="O235" s="1">
        <v>78330</v>
      </c>
      <c r="P235" s="309">
        <v>31186</v>
      </c>
      <c r="Q235" s="309">
        <v>244280</v>
      </c>
      <c r="R235" s="368">
        <f t="shared" si="43"/>
        <v>7.3296980455456781E-4</v>
      </c>
    </row>
    <row r="236" spans="2:18" x14ac:dyDescent="0.3">
      <c r="B236" s="54" t="s">
        <v>1508</v>
      </c>
      <c r="C236" s="54" t="s">
        <v>1469</v>
      </c>
      <c r="E236" s="1">
        <v>19533</v>
      </c>
      <c r="F236" s="309">
        <v>663216</v>
      </c>
      <c r="G236" s="309">
        <v>1295459</v>
      </c>
      <c r="H236" s="368">
        <f t="shared" si="41"/>
        <v>4.1258048575792379E-3</v>
      </c>
      <c r="J236" s="1">
        <v>14070</v>
      </c>
      <c r="K236" s="309">
        <v>551876</v>
      </c>
      <c r="L236" s="309">
        <v>776490</v>
      </c>
      <c r="M236" s="368">
        <f t="shared" si="42"/>
        <v>2.8368895068966952E-3</v>
      </c>
      <c r="O236" s="1">
        <v>11580</v>
      </c>
      <c r="P236" s="309">
        <v>611900</v>
      </c>
      <c r="Q236" s="309">
        <v>708580</v>
      </c>
      <c r="R236" s="368">
        <f t="shared" si="43"/>
        <v>2.544291344590722E-3</v>
      </c>
    </row>
    <row r="237" spans="2:18" x14ac:dyDescent="0.3">
      <c r="B237" s="54" t="s">
        <v>1508</v>
      </c>
      <c r="C237" s="54" t="s">
        <v>26</v>
      </c>
      <c r="E237" s="1">
        <v>118380</v>
      </c>
      <c r="F237" s="309">
        <v>58084</v>
      </c>
      <c r="G237" s="309">
        <v>687595</v>
      </c>
      <c r="H237" s="368">
        <f t="shared" si="41"/>
        <v>8.9070422881281307E-4</v>
      </c>
      <c r="J237" s="1">
        <v>138460</v>
      </c>
      <c r="K237" s="309">
        <v>54388</v>
      </c>
      <c r="L237" s="309">
        <v>753060</v>
      </c>
      <c r="M237" s="368">
        <f t="shared" si="42"/>
        <v>1.0271784998404604E-3</v>
      </c>
      <c r="O237" s="1">
        <v>143150</v>
      </c>
      <c r="P237" s="309">
        <v>56114</v>
      </c>
      <c r="Q237" s="309">
        <v>803270</v>
      </c>
      <c r="R237" s="368">
        <f t="shared" si="43"/>
        <v>1.0494260463108016E-3</v>
      </c>
    </row>
    <row r="238" spans="2:18" x14ac:dyDescent="0.3">
      <c r="B238" s="54" t="s">
        <v>1509</v>
      </c>
      <c r="C238" s="54" t="s">
        <v>28</v>
      </c>
      <c r="E238" s="1">
        <v>150368</v>
      </c>
      <c r="F238" s="309">
        <v>60349</v>
      </c>
      <c r="G238" s="309">
        <v>907458</v>
      </c>
      <c r="H238" s="368">
        <f t="shared" si="41"/>
        <v>3.2091489967813734E-3</v>
      </c>
      <c r="J238" s="1">
        <v>145229</v>
      </c>
      <c r="K238" s="309">
        <v>57563</v>
      </c>
      <c r="L238" s="309">
        <v>835976</v>
      </c>
      <c r="M238" s="368">
        <f t="shared" si="42"/>
        <v>2.8757340878889127E-3</v>
      </c>
      <c r="O238" s="1">
        <v>132778</v>
      </c>
      <c r="P238" s="309">
        <v>59931</v>
      </c>
      <c r="Q238" s="309">
        <v>795748</v>
      </c>
      <c r="R238" s="368">
        <f t="shared" si="43"/>
        <v>2.6588889450350523E-3</v>
      </c>
    </row>
    <row r="239" spans="2:18" x14ac:dyDescent="0.3">
      <c r="B239" s="54" t="s">
        <v>1509</v>
      </c>
      <c r="C239" s="54" t="s">
        <v>24</v>
      </c>
      <c r="E239" s="1">
        <v>157813</v>
      </c>
      <c r="F239" s="309">
        <v>23691</v>
      </c>
      <c r="G239" s="309">
        <v>373870</v>
      </c>
      <c r="H239" s="368">
        <f t="shared" si="41"/>
        <v>3.2984324443968054E-4</v>
      </c>
      <c r="J239" s="1">
        <v>144704</v>
      </c>
      <c r="K239" s="309">
        <v>23905</v>
      </c>
      <c r="L239" s="309">
        <v>345909</v>
      </c>
      <c r="M239" s="368">
        <f t="shared" si="42"/>
        <v>3.086460715134096E-4</v>
      </c>
      <c r="O239" s="1">
        <v>125804</v>
      </c>
      <c r="P239" s="309">
        <v>24403</v>
      </c>
      <c r="Q239" s="309">
        <v>307000</v>
      </c>
      <c r="R239" s="368">
        <f t="shared" si="43"/>
        <v>2.6796840422078867E-4</v>
      </c>
    </row>
    <row r="240" spans="2:18" x14ac:dyDescent="0.3">
      <c r="B240" s="54" t="s">
        <v>1509</v>
      </c>
      <c r="C240" s="54" t="s">
        <v>25</v>
      </c>
      <c r="E240" s="1">
        <v>6765</v>
      </c>
      <c r="F240" s="309">
        <v>217360</v>
      </c>
      <c r="G240" s="309">
        <v>147044</v>
      </c>
      <c r="H240" s="368">
        <f t="shared" si="41"/>
        <v>3.979395206675529E-4</v>
      </c>
      <c r="J240" s="1">
        <v>6162</v>
      </c>
      <c r="K240" s="309">
        <v>219323</v>
      </c>
      <c r="L240" s="309">
        <v>135147</v>
      </c>
      <c r="M240" s="368">
        <f t="shared" si="42"/>
        <v>3.7058852892617498E-4</v>
      </c>
      <c r="O240" s="1">
        <v>5880</v>
      </c>
      <c r="P240" s="309">
        <v>220238</v>
      </c>
      <c r="Q240" s="309">
        <v>129500</v>
      </c>
      <c r="R240" s="368">
        <f t="shared" si="43"/>
        <v>3.5017338977356825E-4</v>
      </c>
    </row>
    <row r="241" spans="2:18" x14ac:dyDescent="0.3">
      <c r="B241" s="54" t="s">
        <v>1509</v>
      </c>
      <c r="C241" s="54" t="s">
        <v>1468</v>
      </c>
      <c r="E241" s="1">
        <v>112356</v>
      </c>
      <c r="F241" s="309">
        <v>36022</v>
      </c>
      <c r="G241" s="309">
        <v>404733</v>
      </c>
      <c r="H241" s="368">
        <f t="shared" si="41"/>
        <v>5.7090862970556771E-4</v>
      </c>
      <c r="J241" s="1">
        <v>133716</v>
      </c>
      <c r="K241" s="309">
        <v>34466</v>
      </c>
      <c r="L241" s="309">
        <v>460870</v>
      </c>
      <c r="M241" s="368">
        <f t="shared" si="42"/>
        <v>6.4121219493796264E-4</v>
      </c>
      <c r="O241" s="1">
        <v>108402</v>
      </c>
      <c r="P241" s="309">
        <v>34843</v>
      </c>
      <c r="Q241" s="309">
        <v>377700</v>
      </c>
      <c r="R241" s="368">
        <f t="shared" si="43"/>
        <v>5.3048188519391097E-4</v>
      </c>
    </row>
    <row r="242" spans="2:18" x14ac:dyDescent="0.3">
      <c r="B242" s="54" t="s">
        <v>1509</v>
      </c>
      <c r="C242" s="54" t="s">
        <v>1470</v>
      </c>
      <c r="E242" s="1">
        <v>490288</v>
      </c>
      <c r="F242" s="309">
        <v>405884</v>
      </c>
      <c r="G242" s="309">
        <v>19900000</v>
      </c>
      <c r="H242" s="368">
        <f t="shared" si="41"/>
        <v>1.0998264574989886E-2</v>
      </c>
      <c r="J242" s="1">
        <v>312637</v>
      </c>
      <c r="K242" s="309">
        <v>403023</v>
      </c>
      <c r="L242" s="309">
        <v>12600000</v>
      </c>
      <c r="M242" s="368">
        <f t="shared" si="42"/>
        <v>6.6164349619936723E-3</v>
      </c>
      <c r="O242" s="1">
        <v>209419</v>
      </c>
      <c r="P242" s="309">
        <v>416630</v>
      </c>
      <c r="Q242" s="309">
        <v>8725032</v>
      </c>
      <c r="R242" s="368">
        <f t="shared" si="43"/>
        <v>4.5313446344809839E-3</v>
      </c>
    </row>
    <row r="243" spans="2:18" x14ac:dyDescent="0.3">
      <c r="B243" s="54" t="s">
        <v>1510</v>
      </c>
      <c r="C243" s="54" t="s">
        <v>25</v>
      </c>
      <c r="E243" s="1">
        <v>4219</v>
      </c>
      <c r="F243" s="309">
        <v>260543</v>
      </c>
      <c r="G243" s="309">
        <v>109923</v>
      </c>
      <c r="H243" s="368">
        <f t="shared" si="41"/>
        <v>2.9748038634925205E-4</v>
      </c>
      <c r="J243" s="1">
        <v>4540</v>
      </c>
      <c r="K243" s="309">
        <v>232004</v>
      </c>
      <c r="L243" s="309">
        <v>105330</v>
      </c>
      <c r="M243" s="368">
        <f t="shared" si="42"/>
        <v>2.8882690516100252E-4</v>
      </c>
      <c r="O243" s="1">
        <v>3880</v>
      </c>
      <c r="P243" s="309">
        <v>211598</v>
      </c>
      <c r="Q243" s="309">
        <v>82100</v>
      </c>
      <c r="R243" s="368">
        <f t="shared" si="43"/>
        <v>2.2200181699158264E-4</v>
      </c>
    </row>
    <row r="244" spans="2:18" x14ac:dyDescent="0.3">
      <c r="B244" s="54" t="s">
        <v>1510</v>
      </c>
      <c r="C244" s="54" t="s">
        <v>1468</v>
      </c>
      <c r="E244" s="1"/>
      <c r="F244" s="309"/>
      <c r="G244" s="309"/>
      <c r="H244" s="368">
        <f t="shared" si="41"/>
        <v>0</v>
      </c>
      <c r="J244" s="1">
        <v>0</v>
      </c>
      <c r="K244" s="309"/>
      <c r="L244" s="309">
        <v>0</v>
      </c>
      <c r="M244" s="368">
        <f t="shared" si="42"/>
        <v>0</v>
      </c>
      <c r="O244" s="1">
        <v>0</v>
      </c>
      <c r="P244" s="309"/>
      <c r="Q244" s="309">
        <v>0</v>
      </c>
      <c r="R244" s="368">
        <f t="shared" si="43"/>
        <v>0</v>
      </c>
    </row>
    <row r="245" spans="2:18" x14ac:dyDescent="0.3">
      <c r="B245" s="54" t="s">
        <v>1510</v>
      </c>
      <c r="C245" s="54" t="s">
        <v>27</v>
      </c>
      <c r="E245" s="1"/>
      <c r="F245" s="309"/>
      <c r="G245" s="309"/>
      <c r="H245" s="368">
        <f t="shared" si="41"/>
        <v>0</v>
      </c>
      <c r="J245" s="1">
        <v>0</v>
      </c>
      <c r="K245" s="309"/>
      <c r="L245" s="309">
        <v>0</v>
      </c>
      <c r="M245" s="368">
        <f t="shared" si="42"/>
        <v>0</v>
      </c>
      <c r="O245" s="1"/>
      <c r="P245" s="309"/>
      <c r="Q245" s="309"/>
      <c r="R245" s="368">
        <f t="shared" si="43"/>
        <v>0</v>
      </c>
    </row>
    <row r="246" spans="2:18" x14ac:dyDescent="0.3">
      <c r="B246" s="54" t="s">
        <v>1510</v>
      </c>
      <c r="C246" s="54" t="s">
        <v>1469</v>
      </c>
      <c r="E246" s="1"/>
      <c r="F246" s="309"/>
      <c r="G246" s="309"/>
      <c r="H246" s="368">
        <f t="shared" si="41"/>
        <v>0</v>
      </c>
      <c r="J246" s="1">
        <v>0</v>
      </c>
      <c r="K246" s="309"/>
      <c r="L246" s="309">
        <v>0</v>
      </c>
      <c r="M246" s="368">
        <f t="shared" si="42"/>
        <v>0</v>
      </c>
      <c r="O246" s="1">
        <v>0</v>
      </c>
      <c r="P246" s="309"/>
      <c r="Q246" s="309">
        <v>0</v>
      </c>
      <c r="R246" s="368">
        <f t="shared" si="43"/>
        <v>0</v>
      </c>
    </row>
    <row r="247" spans="2:18" x14ac:dyDescent="0.3">
      <c r="B247" s="54" t="s">
        <v>1510</v>
      </c>
      <c r="C247" s="54" t="s">
        <v>26</v>
      </c>
      <c r="E247" s="1">
        <v>8678</v>
      </c>
      <c r="F247" s="309">
        <v>19120</v>
      </c>
      <c r="G247" s="309">
        <v>16592</v>
      </c>
      <c r="H247" s="368">
        <f t="shared" si="41"/>
        <v>2.1493123952998777E-5</v>
      </c>
      <c r="J247" s="1">
        <v>10200</v>
      </c>
      <c r="K247" s="309">
        <v>15029</v>
      </c>
      <c r="L247" s="309">
        <v>15330</v>
      </c>
      <c r="M247" s="368">
        <f t="shared" si="42"/>
        <v>2.0910214860109764E-5</v>
      </c>
      <c r="O247" s="1">
        <v>10590</v>
      </c>
      <c r="P247" s="309">
        <v>27828</v>
      </c>
      <c r="Q247" s="309">
        <v>29470</v>
      </c>
      <c r="R247" s="368">
        <f t="shared" si="43"/>
        <v>3.8500859716881399E-5</v>
      </c>
    </row>
    <row r="248" spans="2:18" x14ac:dyDescent="0.3">
      <c r="B248" s="54" t="s">
        <v>1511</v>
      </c>
      <c r="C248" s="54" t="s">
        <v>24</v>
      </c>
      <c r="E248" s="1">
        <v>85995</v>
      </c>
      <c r="F248" s="309">
        <v>68388</v>
      </c>
      <c r="G248" s="309">
        <v>588105</v>
      </c>
      <c r="H248" s="368">
        <f t="shared" si="41"/>
        <v>5.1885003148473621E-4</v>
      </c>
      <c r="J248" s="1">
        <v>81850</v>
      </c>
      <c r="K248" s="309">
        <v>59762</v>
      </c>
      <c r="L248" s="309">
        <v>489150</v>
      </c>
      <c r="M248" s="368">
        <f t="shared" si="42"/>
        <v>4.3645648387519349E-4</v>
      </c>
      <c r="O248" s="1">
        <v>74830</v>
      </c>
      <c r="P248" s="309">
        <v>82889</v>
      </c>
      <c r="Q248" s="309">
        <v>620260</v>
      </c>
      <c r="R248" s="368">
        <f t="shared" si="43"/>
        <v>5.4140091987617712E-4</v>
      </c>
    </row>
    <row r="249" spans="2:18" x14ac:dyDescent="0.3">
      <c r="B249" s="54" t="s">
        <v>1511</v>
      </c>
      <c r="C249" s="54" t="s">
        <v>25</v>
      </c>
      <c r="E249" s="1">
        <v>23418</v>
      </c>
      <c r="F249" s="309">
        <v>294205</v>
      </c>
      <c r="G249" s="309">
        <v>688970</v>
      </c>
      <c r="H249" s="368">
        <f t="shared" si="41"/>
        <v>1.8645330074965583E-3</v>
      </c>
      <c r="J249" s="1">
        <v>22890</v>
      </c>
      <c r="K249" s="309">
        <v>254941</v>
      </c>
      <c r="L249" s="309">
        <v>583560</v>
      </c>
      <c r="M249" s="368">
        <f t="shared" si="42"/>
        <v>1.600188253828488E-3</v>
      </c>
      <c r="O249" s="1">
        <v>22890</v>
      </c>
      <c r="P249" s="309">
        <v>271997</v>
      </c>
      <c r="Q249" s="309">
        <v>622600</v>
      </c>
      <c r="R249" s="368">
        <f t="shared" si="43"/>
        <v>1.6835363125330006E-3</v>
      </c>
    </row>
    <row r="250" spans="2:18" x14ac:dyDescent="0.3">
      <c r="B250" s="54" t="s">
        <v>1511</v>
      </c>
      <c r="C250" s="54" t="s">
        <v>1468</v>
      </c>
      <c r="E250" s="1"/>
      <c r="F250" s="309"/>
      <c r="G250" s="309"/>
      <c r="H250" s="368">
        <f t="shared" si="41"/>
        <v>0</v>
      </c>
      <c r="J250" s="1">
        <v>0</v>
      </c>
      <c r="K250" s="309"/>
      <c r="L250" s="309">
        <v>0</v>
      </c>
      <c r="M250" s="368">
        <f t="shared" si="42"/>
        <v>0</v>
      </c>
      <c r="O250" s="1">
        <v>0</v>
      </c>
      <c r="P250" s="309"/>
      <c r="Q250" s="309">
        <v>0</v>
      </c>
      <c r="R250" s="368">
        <f t="shared" si="43"/>
        <v>0</v>
      </c>
    </row>
    <row r="251" spans="2:18" x14ac:dyDescent="0.3">
      <c r="B251" s="54" t="s">
        <v>1511</v>
      </c>
      <c r="C251" s="54" t="s">
        <v>27</v>
      </c>
      <c r="E251" s="1">
        <v>15344</v>
      </c>
      <c r="F251" s="309">
        <v>24121</v>
      </c>
      <c r="G251" s="309">
        <v>37012</v>
      </c>
      <c r="H251" s="368">
        <f t="shared" si="41"/>
        <v>1.0308525517969219E-4</v>
      </c>
      <c r="J251" s="1">
        <v>15230</v>
      </c>
      <c r="K251" s="309">
        <v>16586</v>
      </c>
      <c r="L251" s="309">
        <v>25260</v>
      </c>
      <c r="M251" s="368">
        <f t="shared" si="42"/>
        <v>7.3390028689719505E-5</v>
      </c>
      <c r="O251" s="1">
        <v>12240</v>
      </c>
      <c r="P251" s="309">
        <v>22745</v>
      </c>
      <c r="Q251" s="309">
        <v>27840</v>
      </c>
      <c r="R251" s="368">
        <f t="shared" si="43"/>
        <v>8.3534793510721991E-5</v>
      </c>
    </row>
    <row r="252" spans="2:18" x14ac:dyDescent="0.3">
      <c r="B252" s="54" t="s">
        <v>1511</v>
      </c>
      <c r="C252" s="54" t="s">
        <v>1469</v>
      </c>
      <c r="E252" s="1">
        <v>66101</v>
      </c>
      <c r="F252" s="309">
        <v>665576</v>
      </c>
      <c r="G252" s="309">
        <v>4399521</v>
      </c>
      <c r="H252" s="368">
        <f t="shared" si="41"/>
        <v>1.4011686292520153E-2</v>
      </c>
      <c r="J252" s="1">
        <v>64760</v>
      </c>
      <c r="K252" s="309">
        <v>575094</v>
      </c>
      <c r="L252" s="309">
        <v>3724310</v>
      </c>
      <c r="M252" s="368">
        <f t="shared" si="42"/>
        <v>1.3606686447256797E-2</v>
      </c>
      <c r="O252" s="1">
        <v>59210</v>
      </c>
      <c r="P252" s="309">
        <v>618379</v>
      </c>
      <c r="Q252" s="309">
        <v>3661420</v>
      </c>
      <c r="R252" s="368">
        <f t="shared" si="43"/>
        <v>1.3147025339286123E-2</v>
      </c>
    </row>
    <row r="253" spans="2:18" x14ac:dyDescent="0.3">
      <c r="B253" s="54" t="s">
        <v>1511</v>
      </c>
      <c r="C253" s="54" t="s">
        <v>26</v>
      </c>
      <c r="E253" s="1">
        <v>832062</v>
      </c>
      <c r="F253" s="309">
        <v>56705</v>
      </c>
      <c r="G253" s="309">
        <v>4718205</v>
      </c>
      <c r="H253" s="368">
        <f t="shared" si="41"/>
        <v>6.1119192924697805E-3</v>
      </c>
      <c r="J253" s="1">
        <v>819690</v>
      </c>
      <c r="K253" s="309">
        <v>53896</v>
      </c>
      <c r="L253" s="309">
        <v>4417840</v>
      </c>
      <c r="M253" s="368">
        <f t="shared" si="42"/>
        <v>6.025961097037659E-3</v>
      </c>
      <c r="O253" s="1">
        <v>839450</v>
      </c>
      <c r="P253" s="309">
        <v>57325</v>
      </c>
      <c r="Q253" s="309">
        <v>4812160</v>
      </c>
      <c r="R253" s="368">
        <f t="shared" si="43"/>
        <v>6.2868102170067185E-3</v>
      </c>
    </row>
    <row r="254" spans="2:18" x14ac:dyDescent="0.3">
      <c r="B254" s="54" t="s">
        <v>1512</v>
      </c>
      <c r="C254" s="54" t="s">
        <v>24</v>
      </c>
      <c r="E254" s="1">
        <v>510223</v>
      </c>
      <c r="F254" s="309">
        <v>43114</v>
      </c>
      <c r="G254" s="309">
        <v>2199755</v>
      </c>
      <c r="H254" s="368">
        <f t="shared" si="41"/>
        <v>1.9407128846187431E-3</v>
      </c>
      <c r="J254" s="1">
        <v>508396</v>
      </c>
      <c r="K254" s="309">
        <v>36903</v>
      </c>
      <c r="L254" s="309">
        <v>1876153</v>
      </c>
      <c r="M254" s="368">
        <f t="shared" si="42"/>
        <v>1.674045061007658E-3</v>
      </c>
      <c r="O254" s="1">
        <v>553820</v>
      </c>
      <c r="P254" s="309">
        <v>46343</v>
      </c>
      <c r="Q254" s="309">
        <v>2566571</v>
      </c>
      <c r="R254" s="368">
        <f t="shared" si="43"/>
        <v>2.2402603752096216E-3</v>
      </c>
    </row>
    <row r="255" spans="2:18" x14ac:dyDescent="0.3">
      <c r="B255" s="54" t="s">
        <v>1512</v>
      </c>
      <c r="C255" s="54" t="s">
        <v>25</v>
      </c>
      <c r="E255" s="1">
        <v>157569</v>
      </c>
      <c r="F255" s="309">
        <v>26975</v>
      </c>
      <c r="G255" s="309">
        <v>425047</v>
      </c>
      <c r="H255" s="368">
        <f t="shared" si="41"/>
        <v>1.1502883452652359E-3</v>
      </c>
      <c r="J255" s="1">
        <v>169806</v>
      </c>
      <c r="K255" s="309">
        <v>33615</v>
      </c>
      <c r="L255" s="309">
        <v>570807</v>
      </c>
      <c r="M255" s="368">
        <f t="shared" si="42"/>
        <v>1.5652180694411505E-3</v>
      </c>
      <c r="O255" s="1">
        <v>147129</v>
      </c>
      <c r="P255" s="309">
        <v>46530</v>
      </c>
      <c r="Q255" s="309">
        <v>684587</v>
      </c>
      <c r="R255" s="368">
        <f t="shared" si="43"/>
        <v>1.8511517404240752E-3</v>
      </c>
    </row>
    <row r="256" spans="2:18" x14ac:dyDescent="0.3">
      <c r="B256" s="54" t="s">
        <v>1512</v>
      </c>
      <c r="C256" s="54" t="s">
        <v>1468</v>
      </c>
      <c r="E256" s="1">
        <v>475158</v>
      </c>
      <c r="F256" s="309">
        <v>50158</v>
      </c>
      <c r="G256" s="309">
        <v>2383277</v>
      </c>
      <c r="H256" s="368">
        <f t="shared" si="41"/>
        <v>3.3618049585252404E-3</v>
      </c>
      <c r="J256" s="1">
        <v>471491</v>
      </c>
      <c r="K256" s="309">
        <v>44277</v>
      </c>
      <c r="L256" s="309">
        <v>2087623</v>
      </c>
      <c r="M256" s="368">
        <f t="shared" si="42"/>
        <v>2.9045269295744445E-3</v>
      </c>
      <c r="O256" s="1">
        <v>465839</v>
      </c>
      <c r="P256" s="309">
        <v>60186</v>
      </c>
      <c r="Q256" s="309">
        <v>2803713</v>
      </c>
      <c r="R256" s="368">
        <f t="shared" si="43"/>
        <v>3.9378315006160331E-3</v>
      </c>
    </row>
    <row r="257" spans="2:18" x14ac:dyDescent="0.3">
      <c r="B257" s="54" t="s">
        <v>1512</v>
      </c>
      <c r="C257" s="54" t="s">
        <v>27</v>
      </c>
      <c r="E257" s="1">
        <v>149800</v>
      </c>
      <c r="F257" s="309">
        <v>14908</v>
      </c>
      <c r="G257" s="309">
        <v>223325</v>
      </c>
      <c r="H257" s="368">
        <f t="shared" si="41"/>
        <v>6.2200136747554192E-4</v>
      </c>
      <c r="J257" s="1">
        <v>107017</v>
      </c>
      <c r="K257" s="309">
        <v>12641</v>
      </c>
      <c r="L257" s="309">
        <v>135280</v>
      </c>
      <c r="M257" s="368">
        <f t="shared" si="42"/>
        <v>3.9304050202475276E-4</v>
      </c>
      <c r="O257" s="1">
        <v>154869</v>
      </c>
      <c r="P257" s="309">
        <v>17041</v>
      </c>
      <c r="Q257" s="309">
        <v>263920</v>
      </c>
      <c r="R257" s="368">
        <f t="shared" si="43"/>
        <v>7.9190024078124087E-4</v>
      </c>
    </row>
    <row r="258" spans="2:18" x14ac:dyDescent="0.3">
      <c r="B258" s="54" t="s">
        <v>1512</v>
      </c>
      <c r="C258" s="54" t="s">
        <v>26</v>
      </c>
      <c r="E258" s="1">
        <v>35000</v>
      </c>
      <c r="F258" s="309">
        <v>14143</v>
      </c>
      <c r="G258" s="309">
        <v>49500</v>
      </c>
      <c r="H258" s="368">
        <f t="shared" si="41"/>
        <v>6.4121844001533232E-5</v>
      </c>
      <c r="J258" s="1">
        <v>24326</v>
      </c>
      <c r="K258" s="309">
        <v>14388</v>
      </c>
      <c r="L258" s="309">
        <v>35000</v>
      </c>
      <c r="M258" s="368">
        <f t="shared" si="42"/>
        <v>4.7740216575593065E-5</v>
      </c>
      <c r="O258" s="1">
        <v>22171</v>
      </c>
      <c r="P258" s="309">
        <v>12168</v>
      </c>
      <c r="Q258" s="309">
        <v>26977</v>
      </c>
      <c r="R258" s="368">
        <f t="shared" si="43"/>
        <v>3.5243898628514064E-5</v>
      </c>
    </row>
    <row r="259" spans="2:18" x14ac:dyDescent="0.3">
      <c r="B259" s="54" t="s">
        <v>1513</v>
      </c>
      <c r="C259" s="54" t="s">
        <v>28</v>
      </c>
      <c r="E259" s="1">
        <v>4633894</v>
      </c>
      <c r="F259" s="309">
        <v>81357</v>
      </c>
      <c r="G259" s="309">
        <v>37699983</v>
      </c>
      <c r="H259" s="368">
        <f t="shared" ref="H259:H322" si="44">G259/(VLOOKUP($C259,$W$5:$Z$13,2,FALSE)*10^6)</f>
        <v>0.13332282334072193</v>
      </c>
      <c r="J259" s="1">
        <v>4776476</v>
      </c>
      <c r="K259" s="309">
        <v>81384</v>
      </c>
      <c r="L259" s="309">
        <v>38873036</v>
      </c>
      <c r="M259" s="368">
        <f t="shared" ref="M259:M322" si="45">L259/(VLOOKUP($C259,$W$5:$Z$13,3,FALSE)*10^6)</f>
        <v>0.13372215796258849</v>
      </c>
      <c r="O259" s="1">
        <v>4919457</v>
      </c>
      <c r="P259" s="309">
        <v>81412</v>
      </c>
      <c r="Q259" s="309">
        <v>40050112</v>
      </c>
      <c r="R259" s="368">
        <f t="shared" ref="R259:R322" si="46">Q259/(VLOOKUP($C259,$W$5:$Z$13,4,FALSE)*10^6)</f>
        <v>0.13382226539584854</v>
      </c>
    </row>
    <row r="260" spans="2:18" x14ac:dyDescent="0.3">
      <c r="B260" s="54" t="s">
        <v>1513</v>
      </c>
      <c r="C260" s="54" t="s">
        <v>24</v>
      </c>
      <c r="E260" s="1">
        <v>2818220</v>
      </c>
      <c r="F260" s="309">
        <v>7758</v>
      </c>
      <c r="G260" s="309">
        <v>2186318</v>
      </c>
      <c r="H260" s="368">
        <f t="shared" si="44"/>
        <v>1.9288582194262002E-3</v>
      </c>
      <c r="J260" s="1">
        <v>2820710</v>
      </c>
      <c r="K260" s="309">
        <v>7750</v>
      </c>
      <c r="L260" s="309">
        <v>2186055</v>
      </c>
      <c r="M260" s="368">
        <f t="shared" si="45"/>
        <v>1.950562974256948E-3</v>
      </c>
      <c r="O260" s="1">
        <v>2762719</v>
      </c>
      <c r="P260" s="309">
        <v>7742</v>
      </c>
      <c r="Q260" s="309">
        <v>2138962</v>
      </c>
      <c r="R260" s="368">
        <f t="shared" si="46"/>
        <v>1.8670170483026272E-3</v>
      </c>
    </row>
    <row r="261" spans="2:18" x14ac:dyDescent="0.3">
      <c r="B261" s="54" t="s">
        <v>1513</v>
      </c>
      <c r="C261" s="54" t="s">
        <v>1472</v>
      </c>
      <c r="E261" s="1">
        <v>277808</v>
      </c>
      <c r="F261" s="309">
        <v>65513</v>
      </c>
      <c r="G261" s="309">
        <v>1820000</v>
      </c>
      <c r="H261" s="368">
        <f t="shared" si="44"/>
        <v>4.546644792109051E-3</v>
      </c>
      <c r="J261" s="1">
        <v>279496</v>
      </c>
      <c r="K261" s="309">
        <v>65475</v>
      </c>
      <c r="L261" s="309">
        <v>1830000</v>
      </c>
      <c r="M261" s="368">
        <f t="shared" si="45"/>
        <v>4.534379621691207E-3</v>
      </c>
      <c r="O261" s="1">
        <v>280491</v>
      </c>
      <c r="P261" s="309">
        <v>65436</v>
      </c>
      <c r="Q261" s="309">
        <v>1835419</v>
      </c>
      <c r="R261" s="368">
        <f t="shared" si="46"/>
        <v>4.4690377004546217E-3</v>
      </c>
    </row>
    <row r="262" spans="2:18" x14ac:dyDescent="0.3">
      <c r="B262" s="54" t="s">
        <v>1513</v>
      </c>
      <c r="C262" s="54" t="s">
        <v>25</v>
      </c>
      <c r="E262" s="1">
        <v>21769</v>
      </c>
      <c r="F262" s="309">
        <v>46152</v>
      </c>
      <c r="G262" s="309">
        <v>100468</v>
      </c>
      <c r="H262" s="368">
        <f t="shared" si="44"/>
        <v>2.7189268356701195E-4</v>
      </c>
      <c r="J262" s="1">
        <v>22038</v>
      </c>
      <c r="K262" s="309">
        <v>46145</v>
      </c>
      <c r="L262" s="309">
        <v>101694</v>
      </c>
      <c r="M262" s="368">
        <f t="shared" si="45"/>
        <v>2.7885657736108414E-4</v>
      </c>
      <c r="O262" s="1">
        <v>22309</v>
      </c>
      <c r="P262" s="309">
        <v>46139</v>
      </c>
      <c r="Q262" s="309">
        <v>102932</v>
      </c>
      <c r="R262" s="368">
        <f t="shared" si="46"/>
        <v>2.7833241201677937E-4</v>
      </c>
    </row>
    <row r="263" spans="2:18" x14ac:dyDescent="0.3">
      <c r="B263" s="54" t="s">
        <v>1513</v>
      </c>
      <c r="C263" s="54" t="s">
        <v>1468</v>
      </c>
      <c r="E263" s="1">
        <v>1597234</v>
      </c>
      <c r="F263" s="309">
        <v>7594</v>
      </c>
      <c r="G263" s="309">
        <v>1213006</v>
      </c>
      <c r="H263" s="368">
        <f t="shared" si="44"/>
        <v>1.7110430661315776E-3</v>
      </c>
      <c r="J263" s="1">
        <v>1693498</v>
      </c>
      <c r="K263" s="309">
        <v>7599</v>
      </c>
      <c r="L263" s="309">
        <v>1286872</v>
      </c>
      <c r="M263" s="368">
        <f t="shared" si="45"/>
        <v>1.7904355235190093E-3</v>
      </c>
      <c r="O263" s="1">
        <v>1813464</v>
      </c>
      <c r="P263" s="309">
        <v>7603</v>
      </c>
      <c r="Q263" s="309">
        <v>1378846</v>
      </c>
      <c r="R263" s="368">
        <f t="shared" si="46"/>
        <v>1.9365973668839908E-3</v>
      </c>
    </row>
    <row r="264" spans="2:18" x14ac:dyDescent="0.3">
      <c r="B264" s="54" t="s">
        <v>1513</v>
      </c>
      <c r="C264" s="54" t="s">
        <v>27</v>
      </c>
      <c r="E264" s="1">
        <v>45000</v>
      </c>
      <c r="F264" s="309">
        <v>4922</v>
      </c>
      <c r="G264" s="309">
        <v>22150</v>
      </c>
      <c r="H264" s="368">
        <f t="shared" si="44"/>
        <v>6.169184054442294E-5</v>
      </c>
      <c r="J264" s="1">
        <v>45000</v>
      </c>
      <c r="K264" s="309">
        <v>5428</v>
      </c>
      <c r="L264" s="309">
        <v>24427</v>
      </c>
      <c r="M264" s="368">
        <f t="shared" si="45"/>
        <v>7.0969842866341179E-5</v>
      </c>
      <c r="O264" s="1">
        <v>46000</v>
      </c>
      <c r="P264" s="309">
        <v>5444</v>
      </c>
      <c r="Q264" s="309">
        <v>25044</v>
      </c>
      <c r="R264" s="368">
        <f t="shared" si="46"/>
        <v>7.5145307783136542E-5</v>
      </c>
    </row>
    <row r="265" spans="2:18" x14ac:dyDescent="0.3">
      <c r="B265" s="54" t="s">
        <v>1513</v>
      </c>
      <c r="C265" s="54" t="s">
        <v>1470</v>
      </c>
      <c r="E265" s="1">
        <v>46504</v>
      </c>
      <c r="F265" s="309">
        <v>479783</v>
      </c>
      <c r="G265" s="309">
        <v>2231185</v>
      </c>
      <c r="H265" s="368">
        <f t="shared" si="44"/>
        <v>1.2331237661180306E-3</v>
      </c>
      <c r="J265" s="1">
        <v>46876</v>
      </c>
      <c r="K265" s="309">
        <v>485271</v>
      </c>
      <c r="L265" s="309">
        <v>2274758</v>
      </c>
      <c r="M265" s="368">
        <f t="shared" si="45"/>
        <v>1.1945070127995874E-3</v>
      </c>
      <c r="O265" s="1">
        <v>47260</v>
      </c>
      <c r="P265" s="309">
        <v>490749</v>
      </c>
      <c r="Q265" s="309">
        <v>2319282</v>
      </c>
      <c r="R265" s="368">
        <f t="shared" si="46"/>
        <v>1.2045189113974969E-3</v>
      </c>
    </row>
    <row r="266" spans="2:18" x14ac:dyDescent="0.3">
      <c r="B266" s="54" t="s">
        <v>1513</v>
      </c>
      <c r="C266" s="54" t="s">
        <v>26</v>
      </c>
      <c r="E266" s="1">
        <v>7649</v>
      </c>
      <c r="F266" s="309">
        <v>13074</v>
      </c>
      <c r="G266" s="309">
        <v>10000</v>
      </c>
      <c r="H266" s="368">
        <f t="shared" si="44"/>
        <v>1.2953907879097624E-5</v>
      </c>
      <c r="J266" s="1">
        <v>8785</v>
      </c>
      <c r="K266" s="309">
        <v>13090</v>
      </c>
      <c r="L266" s="309">
        <v>11500</v>
      </c>
      <c r="M266" s="368">
        <f t="shared" si="45"/>
        <v>1.5686071160552008E-5</v>
      </c>
      <c r="O266" s="1">
        <v>8473</v>
      </c>
      <c r="P266" s="309">
        <v>13109</v>
      </c>
      <c r="Q266" s="309">
        <v>11107</v>
      </c>
      <c r="R266" s="368">
        <f t="shared" si="46"/>
        <v>1.4510656561771351E-5</v>
      </c>
    </row>
    <row r="267" spans="2:18" x14ac:dyDescent="0.3">
      <c r="B267" s="54" t="s">
        <v>1514</v>
      </c>
      <c r="C267" s="54" t="s">
        <v>24</v>
      </c>
      <c r="E267" s="1">
        <v>5100</v>
      </c>
      <c r="F267" s="309">
        <v>76275</v>
      </c>
      <c r="G267" s="309">
        <v>38900</v>
      </c>
      <c r="H267" s="368">
        <f t="shared" si="44"/>
        <v>3.4319154274757467E-5</v>
      </c>
      <c r="J267" s="1">
        <v>6300</v>
      </c>
      <c r="K267" s="309">
        <v>56317</v>
      </c>
      <c r="L267" s="309">
        <v>35480</v>
      </c>
      <c r="M267" s="368">
        <f t="shared" si="45"/>
        <v>3.1657929158523693E-5</v>
      </c>
      <c r="O267" s="1">
        <v>5400</v>
      </c>
      <c r="P267" s="309">
        <v>75593</v>
      </c>
      <c r="Q267" s="309">
        <v>40820</v>
      </c>
      <c r="R267" s="368">
        <f t="shared" si="46"/>
        <v>3.5630196287598022E-5</v>
      </c>
    </row>
    <row r="268" spans="2:18" x14ac:dyDescent="0.3">
      <c r="B268" s="54" t="s">
        <v>1514</v>
      </c>
      <c r="C268" s="54" t="s">
        <v>25</v>
      </c>
      <c r="E268" s="1">
        <v>49700</v>
      </c>
      <c r="F268" s="309">
        <v>436821</v>
      </c>
      <c r="G268" s="309">
        <v>2171000</v>
      </c>
      <c r="H268" s="368">
        <f t="shared" si="44"/>
        <v>5.8752937853245105E-3</v>
      </c>
      <c r="J268" s="1">
        <v>52000</v>
      </c>
      <c r="K268" s="309">
        <v>347462</v>
      </c>
      <c r="L268" s="309">
        <v>1806800</v>
      </c>
      <c r="M268" s="368">
        <f t="shared" si="45"/>
        <v>4.9544522191673724E-3</v>
      </c>
      <c r="O268" s="1">
        <v>56700</v>
      </c>
      <c r="P268" s="309">
        <v>424815</v>
      </c>
      <c r="Q268" s="309">
        <v>2408700</v>
      </c>
      <c r="R268" s="368">
        <f t="shared" si="46"/>
        <v>6.5132250497883688E-3</v>
      </c>
    </row>
    <row r="269" spans="2:18" x14ac:dyDescent="0.3">
      <c r="B269" s="54" t="s">
        <v>1514</v>
      </c>
      <c r="C269" s="54" t="s">
        <v>1468</v>
      </c>
      <c r="E269" s="1"/>
      <c r="F269" s="309"/>
      <c r="G269" s="309"/>
      <c r="H269" s="368">
        <f t="shared" si="44"/>
        <v>0</v>
      </c>
      <c r="J269" s="1">
        <v>0</v>
      </c>
      <c r="K269" s="309"/>
      <c r="L269" s="309">
        <v>0</v>
      </c>
      <c r="M269" s="368">
        <f t="shared" si="45"/>
        <v>0</v>
      </c>
      <c r="O269" s="1">
        <v>0</v>
      </c>
      <c r="P269" s="309"/>
      <c r="Q269" s="309">
        <v>0</v>
      </c>
      <c r="R269" s="368">
        <f t="shared" si="46"/>
        <v>0</v>
      </c>
    </row>
    <row r="270" spans="2:18" x14ac:dyDescent="0.3">
      <c r="B270" s="54" t="s">
        <v>1514</v>
      </c>
      <c r="C270" s="54" t="s">
        <v>27</v>
      </c>
      <c r="E270" s="1"/>
      <c r="F270" s="309"/>
      <c r="G270" s="309"/>
      <c r="H270" s="368">
        <f t="shared" si="44"/>
        <v>0</v>
      </c>
      <c r="J270" s="1">
        <v>0</v>
      </c>
      <c r="K270" s="309"/>
      <c r="L270" s="309">
        <v>0</v>
      </c>
      <c r="M270" s="368">
        <f t="shared" si="45"/>
        <v>0</v>
      </c>
      <c r="O270" s="1">
        <v>0</v>
      </c>
      <c r="P270" s="309"/>
      <c r="Q270" s="309">
        <v>0</v>
      </c>
      <c r="R270" s="368">
        <f t="shared" si="46"/>
        <v>0</v>
      </c>
    </row>
    <row r="271" spans="2:18" x14ac:dyDescent="0.3">
      <c r="B271" s="54" t="s">
        <v>1514</v>
      </c>
      <c r="C271" s="54" t="s">
        <v>1469</v>
      </c>
      <c r="E271" s="1">
        <v>34400</v>
      </c>
      <c r="F271" s="309">
        <v>713547</v>
      </c>
      <c r="G271" s="309">
        <v>2454600</v>
      </c>
      <c r="H271" s="368">
        <f t="shared" si="44"/>
        <v>7.8174613039964959E-3</v>
      </c>
      <c r="J271" s="1">
        <v>34300</v>
      </c>
      <c r="K271" s="309">
        <v>614461</v>
      </c>
      <c r="L271" s="309">
        <v>2107600</v>
      </c>
      <c r="M271" s="368">
        <f t="shared" si="45"/>
        <v>7.7000712497720183E-3</v>
      </c>
      <c r="O271" s="1">
        <v>29000</v>
      </c>
      <c r="P271" s="309">
        <v>806862</v>
      </c>
      <c r="Q271" s="309">
        <v>2339900</v>
      </c>
      <c r="R271" s="368">
        <f t="shared" si="46"/>
        <v>8.4018562719916316E-3</v>
      </c>
    </row>
    <row r="272" spans="2:18" x14ac:dyDescent="0.3">
      <c r="B272" s="54" t="s">
        <v>1514</v>
      </c>
      <c r="C272" s="54" t="s">
        <v>26</v>
      </c>
      <c r="E272" s="1">
        <v>586600</v>
      </c>
      <c r="F272" s="309">
        <v>82409</v>
      </c>
      <c r="G272" s="309">
        <v>4834100</v>
      </c>
      <c r="H272" s="368">
        <f t="shared" si="44"/>
        <v>6.2620486078345822E-3</v>
      </c>
      <c r="J272" s="1">
        <v>425800</v>
      </c>
      <c r="K272" s="309">
        <v>61624</v>
      </c>
      <c r="L272" s="309">
        <v>2623930</v>
      </c>
      <c r="M272" s="368">
        <f t="shared" si="45"/>
        <v>3.5790567565484547E-3</v>
      </c>
      <c r="O272" s="1">
        <v>573400</v>
      </c>
      <c r="P272" s="309">
        <v>80957</v>
      </c>
      <c r="Q272" s="309">
        <v>4642090</v>
      </c>
      <c r="R272" s="368">
        <f t="shared" si="46"/>
        <v>6.0646235454067856E-3</v>
      </c>
    </row>
    <row r="273" spans="2:18" x14ac:dyDescent="0.3">
      <c r="B273" s="54" t="s">
        <v>1515</v>
      </c>
      <c r="C273" s="54" t="s">
        <v>24</v>
      </c>
      <c r="E273" s="1">
        <v>10</v>
      </c>
      <c r="F273" s="309">
        <v>20000</v>
      </c>
      <c r="G273" s="309">
        <v>20</v>
      </c>
      <c r="H273" s="368">
        <f t="shared" si="44"/>
        <v>1.7644809395762194E-8</v>
      </c>
      <c r="J273" s="1">
        <v>10</v>
      </c>
      <c r="K273" s="309">
        <v>21000</v>
      </c>
      <c r="L273" s="309">
        <v>21</v>
      </c>
      <c r="M273" s="368">
        <f t="shared" si="45"/>
        <v>1.8737782196420451E-8</v>
      </c>
      <c r="O273" s="1">
        <v>10</v>
      </c>
      <c r="P273" s="309">
        <v>21000</v>
      </c>
      <c r="Q273" s="309">
        <v>21</v>
      </c>
      <c r="R273" s="368">
        <f t="shared" si="46"/>
        <v>1.8330086282203784E-8</v>
      </c>
    </row>
    <row r="274" spans="2:18" x14ac:dyDescent="0.3">
      <c r="B274" s="54" t="s">
        <v>1515</v>
      </c>
      <c r="C274" s="54" t="s">
        <v>1470</v>
      </c>
      <c r="E274" s="1"/>
      <c r="F274" s="309"/>
      <c r="G274" s="309">
        <v>53</v>
      </c>
      <c r="H274" s="368">
        <f t="shared" si="44"/>
        <v>2.9291860425852462E-8</v>
      </c>
      <c r="J274" s="1"/>
      <c r="K274" s="309"/>
      <c r="L274" s="309">
        <v>53</v>
      </c>
      <c r="M274" s="368">
        <f t="shared" si="45"/>
        <v>2.7831035951243223E-8</v>
      </c>
      <c r="O274" s="1"/>
      <c r="P274" s="309"/>
      <c r="Q274" s="309">
        <v>53</v>
      </c>
      <c r="R274" s="368">
        <f t="shared" si="46"/>
        <v>2.7525545536966758E-8</v>
      </c>
    </row>
    <row r="275" spans="2:18" x14ac:dyDescent="0.3">
      <c r="B275" s="54" t="s">
        <v>1516</v>
      </c>
      <c r="C275" s="54" t="s">
        <v>28</v>
      </c>
      <c r="E275" s="1">
        <v>171</v>
      </c>
      <c r="F275" s="309">
        <v>72690</v>
      </c>
      <c r="G275" s="309">
        <v>1243</v>
      </c>
      <c r="H275" s="368">
        <f t="shared" si="44"/>
        <v>4.3957650965656231E-6</v>
      </c>
      <c r="J275" s="1">
        <v>177</v>
      </c>
      <c r="K275" s="309">
        <v>71186</v>
      </c>
      <c r="L275" s="309">
        <v>1260</v>
      </c>
      <c r="M275" s="368">
        <f t="shared" si="45"/>
        <v>4.3343648032240519E-6</v>
      </c>
      <c r="O275" s="1">
        <v>184</v>
      </c>
      <c r="P275" s="309">
        <v>69402</v>
      </c>
      <c r="Q275" s="309">
        <v>1277</v>
      </c>
      <c r="R275" s="368">
        <f t="shared" si="46"/>
        <v>4.2669302125921291E-6</v>
      </c>
    </row>
    <row r="276" spans="2:18" x14ac:dyDescent="0.3">
      <c r="B276" s="54" t="s">
        <v>1516</v>
      </c>
      <c r="C276" s="54" t="s">
        <v>24</v>
      </c>
      <c r="E276" s="1">
        <v>116</v>
      </c>
      <c r="F276" s="309">
        <v>16379</v>
      </c>
      <c r="G276" s="309">
        <v>190</v>
      </c>
      <c r="H276" s="368">
        <f t="shared" si="44"/>
        <v>1.6762568925974083E-7</v>
      </c>
      <c r="J276" s="1">
        <v>116</v>
      </c>
      <c r="K276" s="309">
        <v>16379</v>
      </c>
      <c r="L276" s="309">
        <v>190</v>
      </c>
      <c r="M276" s="368">
        <f t="shared" si="45"/>
        <v>1.6953231511047074E-7</v>
      </c>
      <c r="O276" s="1">
        <v>115</v>
      </c>
      <c r="P276" s="309">
        <v>16609</v>
      </c>
      <c r="Q276" s="309">
        <v>191</v>
      </c>
      <c r="R276" s="368">
        <f t="shared" si="46"/>
        <v>1.6671649904290109E-7</v>
      </c>
    </row>
    <row r="277" spans="2:18" x14ac:dyDescent="0.3">
      <c r="B277" s="54" t="s">
        <v>1516</v>
      </c>
      <c r="C277" s="54" t="s">
        <v>25</v>
      </c>
      <c r="E277" s="1">
        <v>8</v>
      </c>
      <c r="F277" s="309">
        <v>176250</v>
      </c>
      <c r="G277" s="309">
        <v>141</v>
      </c>
      <c r="H277" s="368">
        <f t="shared" si="44"/>
        <v>3.8158287596994749E-7</v>
      </c>
      <c r="J277" s="1">
        <v>8</v>
      </c>
      <c r="K277" s="309">
        <v>178750</v>
      </c>
      <c r="L277" s="309">
        <v>143</v>
      </c>
      <c r="M277" s="368">
        <f t="shared" si="45"/>
        <v>3.9212235296708785E-7</v>
      </c>
      <c r="O277" s="1">
        <v>8</v>
      </c>
      <c r="P277" s="309">
        <v>180000</v>
      </c>
      <c r="Q277" s="309">
        <v>144</v>
      </c>
      <c r="R277" s="368">
        <f t="shared" si="46"/>
        <v>3.893819932617284E-7</v>
      </c>
    </row>
    <row r="278" spans="2:18" x14ac:dyDescent="0.3">
      <c r="B278" s="54" t="s">
        <v>1516</v>
      </c>
      <c r="C278" s="54" t="s">
        <v>1470</v>
      </c>
      <c r="E278" s="1">
        <v>247</v>
      </c>
      <c r="F278" s="309">
        <v>197895</v>
      </c>
      <c r="G278" s="309">
        <v>4888</v>
      </c>
      <c r="H278" s="368">
        <f t="shared" si="44"/>
        <v>2.7014832785201291E-6</v>
      </c>
      <c r="J278" s="1">
        <v>248</v>
      </c>
      <c r="K278" s="309">
        <v>197944</v>
      </c>
      <c r="L278" s="309">
        <v>4909</v>
      </c>
      <c r="M278" s="368">
        <f t="shared" si="45"/>
        <v>2.5777840657481696E-6</v>
      </c>
      <c r="O278" s="1">
        <v>250</v>
      </c>
      <c r="P278" s="309">
        <v>197200</v>
      </c>
      <c r="Q278" s="309">
        <v>4930</v>
      </c>
      <c r="R278" s="368">
        <f t="shared" si="46"/>
        <v>2.5603950848537004E-6</v>
      </c>
    </row>
    <row r="279" spans="2:18" x14ac:dyDescent="0.3">
      <c r="B279" s="54" t="s">
        <v>5</v>
      </c>
      <c r="C279" s="54" t="s">
        <v>28</v>
      </c>
      <c r="E279" s="1">
        <v>23685</v>
      </c>
      <c r="F279" s="309">
        <v>73378</v>
      </c>
      <c r="G279" s="309">
        <v>173795</v>
      </c>
      <c r="H279" s="368">
        <f t="shared" si="44"/>
        <v>6.1461141991763673E-4</v>
      </c>
      <c r="J279" s="1">
        <v>21671</v>
      </c>
      <c r="K279" s="309">
        <v>74024</v>
      </c>
      <c r="L279" s="309">
        <v>160418</v>
      </c>
      <c r="M279" s="368">
        <f t="shared" si="45"/>
        <v>5.5183343889174277E-4</v>
      </c>
      <c r="O279" s="1">
        <v>23200</v>
      </c>
      <c r="P279" s="309">
        <v>75297</v>
      </c>
      <c r="Q279" s="309">
        <v>174690</v>
      </c>
      <c r="R279" s="368">
        <f t="shared" si="46"/>
        <v>5.8370402414856628E-4</v>
      </c>
    </row>
    <row r="280" spans="2:18" x14ac:dyDescent="0.3">
      <c r="B280" s="54" t="s">
        <v>5</v>
      </c>
      <c r="C280" s="54" t="s">
        <v>24</v>
      </c>
      <c r="E280" s="1">
        <v>25712</v>
      </c>
      <c r="F280" s="309">
        <v>17115</v>
      </c>
      <c r="G280" s="309">
        <v>44007</v>
      </c>
      <c r="H280" s="368">
        <f t="shared" si="44"/>
        <v>3.8824756353965339E-5</v>
      </c>
      <c r="J280" s="1">
        <v>26111</v>
      </c>
      <c r="K280" s="309">
        <v>17077</v>
      </c>
      <c r="L280" s="309">
        <v>44590</v>
      </c>
      <c r="M280" s="368">
        <f t="shared" si="45"/>
        <v>3.9786557530399426E-5</v>
      </c>
      <c r="O280" s="1">
        <v>29267</v>
      </c>
      <c r="P280" s="309">
        <v>17029</v>
      </c>
      <c r="Q280" s="309">
        <v>49840</v>
      </c>
      <c r="R280" s="368">
        <f t="shared" si="46"/>
        <v>4.3503404776430317E-5</v>
      </c>
    </row>
    <row r="281" spans="2:18" x14ac:dyDescent="0.3">
      <c r="B281" s="54" t="s">
        <v>5</v>
      </c>
      <c r="C281" s="54" t="s">
        <v>1472</v>
      </c>
      <c r="E281" s="1">
        <v>20080</v>
      </c>
      <c r="F281" s="309">
        <v>139940</v>
      </c>
      <c r="G281" s="309">
        <v>281000</v>
      </c>
      <c r="H281" s="368">
        <f t="shared" si="44"/>
        <v>7.0198197064980409E-4</v>
      </c>
      <c r="J281" s="1">
        <v>20400</v>
      </c>
      <c r="K281" s="309">
        <v>139706</v>
      </c>
      <c r="L281" s="309">
        <v>285000</v>
      </c>
      <c r="M281" s="368">
        <f t="shared" si="45"/>
        <v>7.0617387550928642E-4</v>
      </c>
      <c r="O281" s="1">
        <v>20684</v>
      </c>
      <c r="P281" s="309">
        <v>139437</v>
      </c>
      <c r="Q281" s="309">
        <v>288412</v>
      </c>
      <c r="R281" s="368">
        <f t="shared" si="46"/>
        <v>7.0225060395665419E-4</v>
      </c>
    </row>
    <row r="282" spans="2:18" x14ac:dyDescent="0.3">
      <c r="B282" s="54" t="s">
        <v>5</v>
      </c>
      <c r="C282" s="54" t="s">
        <v>25</v>
      </c>
      <c r="E282" s="1">
        <v>3150</v>
      </c>
      <c r="F282" s="309">
        <v>267181</v>
      </c>
      <c r="G282" s="309">
        <v>84162</v>
      </c>
      <c r="H282" s="368">
        <f t="shared" si="44"/>
        <v>2.2776438303108313E-4</v>
      </c>
      <c r="J282" s="1">
        <v>3321</v>
      </c>
      <c r="K282" s="309">
        <v>266658</v>
      </c>
      <c r="L282" s="309">
        <v>88557</v>
      </c>
      <c r="M282" s="368">
        <f t="shared" si="45"/>
        <v>2.4283342106088391E-4</v>
      </c>
      <c r="O282" s="1">
        <v>3494</v>
      </c>
      <c r="P282" s="309">
        <v>268042</v>
      </c>
      <c r="Q282" s="309">
        <v>93654</v>
      </c>
      <c r="R282" s="368">
        <f t="shared" si="46"/>
        <v>2.5324431386759659E-4</v>
      </c>
    </row>
    <row r="283" spans="2:18" x14ac:dyDescent="0.3">
      <c r="B283" s="54" t="s">
        <v>5</v>
      </c>
      <c r="C283" s="54" t="s">
        <v>1468</v>
      </c>
      <c r="E283" s="1">
        <v>174389</v>
      </c>
      <c r="F283" s="309">
        <v>56999</v>
      </c>
      <c r="G283" s="309">
        <v>994000</v>
      </c>
      <c r="H283" s="368">
        <f t="shared" si="44"/>
        <v>1.4021173907917918E-3</v>
      </c>
      <c r="J283" s="1">
        <v>192604</v>
      </c>
      <c r="K283" s="309">
        <v>55035</v>
      </c>
      <c r="L283" s="309">
        <v>1060000</v>
      </c>
      <c r="M283" s="368">
        <f t="shared" si="45"/>
        <v>1.4747866570491469E-3</v>
      </c>
      <c r="O283" s="1">
        <v>195507</v>
      </c>
      <c r="P283" s="309">
        <v>55292</v>
      </c>
      <c r="Q283" s="309">
        <v>1081000</v>
      </c>
      <c r="R283" s="368">
        <f t="shared" si="46"/>
        <v>1.518270897258718E-3</v>
      </c>
    </row>
    <row r="284" spans="2:18" x14ac:dyDescent="0.3">
      <c r="B284" s="54" t="s">
        <v>5</v>
      </c>
      <c r="C284" s="54" t="s">
        <v>1469</v>
      </c>
      <c r="E284" s="1">
        <v>0</v>
      </c>
      <c r="F284" s="309"/>
      <c r="G284" s="309">
        <v>0</v>
      </c>
      <c r="H284" s="368">
        <f t="shared" si="44"/>
        <v>0</v>
      </c>
      <c r="J284" s="1">
        <v>0</v>
      </c>
      <c r="K284" s="309"/>
      <c r="L284" s="309">
        <v>0</v>
      </c>
      <c r="M284" s="368">
        <f t="shared" si="45"/>
        <v>0</v>
      </c>
      <c r="O284" s="1">
        <v>0</v>
      </c>
      <c r="P284" s="309"/>
      <c r="Q284" s="309">
        <v>0</v>
      </c>
      <c r="R284" s="368">
        <f t="shared" si="46"/>
        <v>0</v>
      </c>
    </row>
    <row r="285" spans="2:18" x14ac:dyDescent="0.3">
      <c r="B285" s="54" t="s">
        <v>5</v>
      </c>
      <c r="C285" s="54" t="s">
        <v>1470</v>
      </c>
      <c r="E285" s="1">
        <v>114742</v>
      </c>
      <c r="F285" s="309">
        <v>475916</v>
      </c>
      <c r="G285" s="309">
        <v>5460761</v>
      </c>
      <c r="H285" s="368">
        <f t="shared" si="44"/>
        <v>3.0180348873761983E-3</v>
      </c>
      <c r="J285" s="1">
        <v>121827</v>
      </c>
      <c r="K285" s="309">
        <v>476853</v>
      </c>
      <c r="L285" s="309">
        <v>5809353</v>
      </c>
      <c r="M285" s="368">
        <f t="shared" si="45"/>
        <v>3.0505719282351447E-3</v>
      </c>
      <c r="O285" s="1">
        <v>103523</v>
      </c>
      <c r="P285" s="309">
        <v>472928</v>
      </c>
      <c r="Q285" s="309">
        <v>4895891</v>
      </c>
      <c r="R285" s="368">
        <f t="shared" si="46"/>
        <v>2.542680578575957E-3</v>
      </c>
    </row>
    <row r="286" spans="2:18" x14ac:dyDescent="0.3">
      <c r="B286" s="54" t="s">
        <v>1517</v>
      </c>
      <c r="C286" s="54" t="s">
        <v>28</v>
      </c>
      <c r="E286" s="1">
        <v>17075</v>
      </c>
      <c r="F286" s="309">
        <v>60045</v>
      </c>
      <c r="G286" s="309">
        <v>102526</v>
      </c>
      <c r="H286" s="368">
        <f t="shared" si="44"/>
        <v>3.6257458752251572E-4</v>
      </c>
      <c r="J286" s="1">
        <v>12756</v>
      </c>
      <c r="K286" s="309">
        <v>60279</v>
      </c>
      <c r="L286" s="309">
        <v>76892</v>
      </c>
      <c r="M286" s="368">
        <f t="shared" si="45"/>
        <v>2.6450633210278079E-4</v>
      </c>
      <c r="O286" s="1">
        <v>13601</v>
      </c>
      <c r="P286" s="309">
        <v>51366</v>
      </c>
      <c r="Q286" s="309">
        <v>69863</v>
      </c>
      <c r="R286" s="368">
        <f t="shared" si="46"/>
        <v>2.3343817184207042E-4</v>
      </c>
    </row>
    <row r="287" spans="2:18" x14ac:dyDescent="0.3">
      <c r="B287" s="54" t="s">
        <v>1517</v>
      </c>
      <c r="C287" s="54" t="s">
        <v>24</v>
      </c>
      <c r="E287" s="1">
        <v>358822</v>
      </c>
      <c r="F287" s="309">
        <v>40023</v>
      </c>
      <c r="G287" s="309">
        <v>1436106</v>
      </c>
      <c r="H287" s="368">
        <f t="shared" si="44"/>
        <v>1.2669908321055229E-3</v>
      </c>
      <c r="J287" s="1">
        <v>365334</v>
      </c>
      <c r="K287" s="309">
        <v>36245</v>
      </c>
      <c r="L287" s="309">
        <v>1324147</v>
      </c>
      <c r="M287" s="368">
        <f t="shared" si="45"/>
        <v>1.1815037181925501E-3</v>
      </c>
      <c r="O287" s="1">
        <v>322846</v>
      </c>
      <c r="P287" s="309">
        <v>45835</v>
      </c>
      <c r="Q287" s="309">
        <v>1479770</v>
      </c>
      <c r="R287" s="368">
        <f t="shared" si="46"/>
        <v>1.2916338941817475E-3</v>
      </c>
    </row>
    <row r="288" spans="2:18" x14ac:dyDescent="0.3">
      <c r="B288" s="54" t="s">
        <v>1517</v>
      </c>
      <c r="C288" s="54" t="s">
        <v>1472</v>
      </c>
      <c r="E288" s="1">
        <v>260292</v>
      </c>
      <c r="F288" s="309">
        <v>125858</v>
      </c>
      <c r="G288" s="309">
        <v>3275993</v>
      </c>
      <c r="H288" s="368">
        <f t="shared" si="44"/>
        <v>8.183943138700937E-3</v>
      </c>
      <c r="J288" s="1">
        <v>223962</v>
      </c>
      <c r="K288" s="309">
        <v>124385</v>
      </c>
      <c r="L288" s="309">
        <v>2785756</v>
      </c>
      <c r="M288" s="368">
        <f t="shared" si="45"/>
        <v>6.9025547745377109E-3</v>
      </c>
      <c r="O288" s="1">
        <v>200908</v>
      </c>
      <c r="P288" s="309">
        <v>113283</v>
      </c>
      <c r="Q288" s="309">
        <v>2275948</v>
      </c>
      <c r="R288" s="368">
        <f t="shared" si="46"/>
        <v>5.5416759967474973E-3</v>
      </c>
    </row>
    <row r="289" spans="2:18" x14ac:dyDescent="0.3">
      <c r="B289" s="54" t="s">
        <v>1517</v>
      </c>
      <c r="C289" s="54" t="s">
        <v>25</v>
      </c>
      <c r="E289" s="1">
        <v>29532</v>
      </c>
      <c r="F289" s="309">
        <v>127740</v>
      </c>
      <c r="G289" s="309">
        <v>377243</v>
      </c>
      <c r="H289" s="368">
        <f t="shared" si="44"/>
        <v>1.0209182190037652E-3</v>
      </c>
      <c r="J289" s="1">
        <v>22099</v>
      </c>
      <c r="K289" s="309">
        <v>121816</v>
      </c>
      <c r="L289" s="309">
        <v>269201</v>
      </c>
      <c r="M289" s="368">
        <f t="shared" si="45"/>
        <v>7.3817992686079032E-4</v>
      </c>
      <c r="O289" s="1">
        <v>19675</v>
      </c>
      <c r="P289" s="309">
        <v>139947</v>
      </c>
      <c r="Q289" s="309">
        <v>275346</v>
      </c>
      <c r="R289" s="368">
        <f t="shared" si="46"/>
        <v>7.4454704386558242E-4</v>
      </c>
    </row>
    <row r="290" spans="2:18" x14ac:dyDescent="0.3">
      <c r="B290" s="54" t="s">
        <v>1517</v>
      </c>
      <c r="C290" s="54" t="s">
        <v>1468</v>
      </c>
      <c r="E290" s="1">
        <v>358100</v>
      </c>
      <c r="F290" s="309">
        <v>29785</v>
      </c>
      <c r="G290" s="309">
        <v>1066614</v>
      </c>
      <c r="H290" s="368">
        <f t="shared" si="44"/>
        <v>1.5045453105251472E-3</v>
      </c>
      <c r="J290" s="1">
        <v>298298</v>
      </c>
      <c r="K290" s="309">
        <v>45260</v>
      </c>
      <c r="L290" s="309">
        <v>1350093</v>
      </c>
      <c r="M290" s="368">
        <f t="shared" si="45"/>
        <v>1.8783954171466546E-3</v>
      </c>
      <c r="O290" s="1">
        <v>257273</v>
      </c>
      <c r="P290" s="309">
        <v>42744</v>
      </c>
      <c r="Q290" s="309">
        <v>1099686</v>
      </c>
      <c r="R290" s="368">
        <f t="shared" si="46"/>
        <v>1.5445154948407498E-3</v>
      </c>
    </row>
    <row r="291" spans="2:18" x14ac:dyDescent="0.3">
      <c r="B291" s="54" t="s">
        <v>1517</v>
      </c>
      <c r="C291" s="54" t="s">
        <v>27</v>
      </c>
      <c r="E291" s="1">
        <v>28021</v>
      </c>
      <c r="F291" s="309">
        <v>12493</v>
      </c>
      <c r="G291" s="309">
        <v>35006</v>
      </c>
      <c r="H291" s="368">
        <f t="shared" si="44"/>
        <v>9.7498174722260484E-5</v>
      </c>
      <c r="J291" s="1">
        <v>23134</v>
      </c>
      <c r="K291" s="309">
        <v>11024</v>
      </c>
      <c r="L291" s="309">
        <v>25504</v>
      </c>
      <c r="M291" s="368">
        <f t="shared" si="45"/>
        <v>7.4098942664394549E-5</v>
      </c>
      <c r="O291" s="1">
        <v>27020</v>
      </c>
      <c r="P291" s="309">
        <v>14624</v>
      </c>
      <c r="Q291" s="309">
        <v>39515</v>
      </c>
      <c r="R291" s="368">
        <f t="shared" si="46"/>
        <v>1.1856599732673057E-4</v>
      </c>
    </row>
    <row r="292" spans="2:18" x14ac:dyDescent="0.3">
      <c r="B292" s="54" t="s">
        <v>1517</v>
      </c>
      <c r="C292" s="54" t="s">
        <v>1469</v>
      </c>
      <c r="E292" s="1">
        <v>734</v>
      </c>
      <c r="F292" s="309">
        <v>61880</v>
      </c>
      <c r="G292" s="309">
        <v>4542</v>
      </c>
      <c r="H292" s="368">
        <f t="shared" si="44"/>
        <v>1.4465456385053404E-5</v>
      </c>
      <c r="J292" s="1">
        <v>744</v>
      </c>
      <c r="K292" s="309">
        <v>61989</v>
      </c>
      <c r="L292" s="309">
        <v>4612</v>
      </c>
      <c r="M292" s="368">
        <f t="shared" si="45"/>
        <v>1.6849842761410396E-5</v>
      </c>
      <c r="O292" s="1">
        <v>754</v>
      </c>
      <c r="P292" s="309">
        <v>62069</v>
      </c>
      <c r="Q292" s="309">
        <v>4680</v>
      </c>
      <c r="R292" s="368">
        <f t="shared" si="46"/>
        <v>1.6804430682046599E-5</v>
      </c>
    </row>
    <row r="293" spans="2:18" x14ac:dyDescent="0.3">
      <c r="B293" s="54" t="s">
        <v>1517</v>
      </c>
      <c r="C293" s="54" t="s">
        <v>1470</v>
      </c>
      <c r="E293" s="1">
        <v>110603</v>
      </c>
      <c r="F293" s="309">
        <v>816440</v>
      </c>
      <c r="G293" s="309">
        <v>9030074</v>
      </c>
      <c r="H293" s="368">
        <f t="shared" si="44"/>
        <v>4.9907107027003629E-3</v>
      </c>
      <c r="J293" s="1">
        <v>98856</v>
      </c>
      <c r="K293" s="309">
        <v>758907</v>
      </c>
      <c r="L293" s="309">
        <v>7502251</v>
      </c>
      <c r="M293" s="368">
        <f t="shared" si="45"/>
        <v>3.9395361754009511E-3</v>
      </c>
      <c r="O293" s="1">
        <v>121812</v>
      </c>
      <c r="P293" s="309">
        <v>759999</v>
      </c>
      <c r="Q293" s="309">
        <v>9257700</v>
      </c>
      <c r="R293" s="368">
        <f t="shared" si="46"/>
        <v>4.8079857154259839E-3</v>
      </c>
    </row>
    <row r="294" spans="2:18" x14ac:dyDescent="0.3">
      <c r="B294" s="54" t="s">
        <v>1517</v>
      </c>
      <c r="C294" s="54" t="s">
        <v>26</v>
      </c>
      <c r="E294" s="1">
        <v>4490</v>
      </c>
      <c r="F294" s="309">
        <v>12924</v>
      </c>
      <c r="G294" s="309">
        <v>5803</v>
      </c>
      <c r="H294" s="368">
        <f t="shared" si="44"/>
        <v>7.5171527422403504E-6</v>
      </c>
      <c r="J294" s="1">
        <v>3149</v>
      </c>
      <c r="K294" s="309">
        <v>17142</v>
      </c>
      <c r="L294" s="309">
        <v>5398</v>
      </c>
      <c r="M294" s="368">
        <f t="shared" si="45"/>
        <v>7.3629054021443244E-6</v>
      </c>
      <c r="O294" s="1">
        <v>3085</v>
      </c>
      <c r="P294" s="309">
        <v>16444</v>
      </c>
      <c r="Q294" s="309">
        <v>5073</v>
      </c>
      <c r="R294" s="368">
        <f t="shared" si="46"/>
        <v>6.6275826719965845E-6</v>
      </c>
    </row>
    <row r="295" spans="2:18" x14ac:dyDescent="0.3">
      <c r="B295" s="54" t="s">
        <v>1518</v>
      </c>
      <c r="C295" s="54" t="s">
        <v>24</v>
      </c>
      <c r="E295" s="1">
        <v>1096680</v>
      </c>
      <c r="F295" s="309">
        <v>77895</v>
      </c>
      <c r="G295" s="309">
        <v>8542635</v>
      </c>
      <c r="H295" s="368">
        <f t="shared" si="44"/>
        <v>7.536658315628348E-3</v>
      </c>
      <c r="J295" s="1">
        <v>680025</v>
      </c>
      <c r="K295" s="309">
        <v>75162</v>
      </c>
      <c r="L295" s="309">
        <v>5111236</v>
      </c>
      <c r="M295" s="368">
        <f t="shared" si="45"/>
        <v>4.560629853452537E-3</v>
      </c>
      <c r="O295" s="1">
        <v>994818</v>
      </c>
      <c r="P295" s="309">
        <v>74888</v>
      </c>
      <c r="Q295" s="309">
        <v>7450000</v>
      </c>
      <c r="R295" s="368">
        <f t="shared" si="46"/>
        <v>6.5028163239246759E-3</v>
      </c>
    </row>
    <row r="296" spans="2:18" x14ac:dyDescent="0.3">
      <c r="B296" s="54" t="s">
        <v>1518</v>
      </c>
      <c r="C296" s="54" t="s">
        <v>25</v>
      </c>
      <c r="E296" s="1">
        <v>174311</v>
      </c>
      <c r="F296" s="309">
        <v>277724</v>
      </c>
      <c r="G296" s="309">
        <v>4841040</v>
      </c>
      <c r="H296" s="368">
        <f t="shared" si="44"/>
        <v>1.3101120325429465E-2</v>
      </c>
      <c r="J296" s="1">
        <v>171461</v>
      </c>
      <c r="K296" s="309">
        <v>289282</v>
      </c>
      <c r="L296" s="309">
        <v>4960062</v>
      </c>
      <c r="M296" s="368">
        <f t="shared" si="45"/>
        <v>1.3601057218899579E-2</v>
      </c>
      <c r="O296" s="1">
        <v>175161</v>
      </c>
      <c r="P296" s="309">
        <v>289926</v>
      </c>
      <c r="Q296" s="309">
        <v>5078374</v>
      </c>
      <c r="R296" s="368">
        <f t="shared" si="46"/>
        <v>1.3732134657281504E-2</v>
      </c>
    </row>
    <row r="297" spans="2:18" x14ac:dyDescent="0.3">
      <c r="B297" s="54" t="s">
        <v>1518</v>
      </c>
      <c r="C297" s="54" t="s">
        <v>1468</v>
      </c>
      <c r="E297" s="1">
        <v>549688</v>
      </c>
      <c r="F297" s="309">
        <v>90245</v>
      </c>
      <c r="G297" s="309">
        <v>4960662</v>
      </c>
      <c r="H297" s="368">
        <f t="shared" si="44"/>
        <v>6.997414949738422E-3</v>
      </c>
      <c r="J297" s="1">
        <v>361075</v>
      </c>
      <c r="K297" s="309">
        <v>86511</v>
      </c>
      <c r="L297" s="309">
        <v>3123708</v>
      </c>
      <c r="M297" s="368">
        <f t="shared" si="45"/>
        <v>4.346040451809129E-3</v>
      </c>
      <c r="O297" s="1">
        <v>799032</v>
      </c>
      <c r="P297" s="309">
        <v>83726</v>
      </c>
      <c r="Q297" s="309">
        <v>6690000</v>
      </c>
      <c r="R297" s="368">
        <f t="shared" si="46"/>
        <v>9.3961445908055715E-3</v>
      </c>
    </row>
    <row r="298" spans="2:18" x14ac:dyDescent="0.3">
      <c r="B298" s="54" t="s">
        <v>1518</v>
      </c>
      <c r="C298" s="54" t="s">
        <v>27</v>
      </c>
      <c r="E298" s="1">
        <v>12879</v>
      </c>
      <c r="F298" s="309">
        <v>28254</v>
      </c>
      <c r="G298" s="309">
        <v>36388</v>
      </c>
      <c r="H298" s="368">
        <f t="shared" si="44"/>
        <v>1.0134729994268452E-4</v>
      </c>
      <c r="J298" s="1">
        <v>16093</v>
      </c>
      <c r="K298" s="309">
        <v>29203</v>
      </c>
      <c r="L298" s="309">
        <v>46997</v>
      </c>
      <c r="M298" s="368">
        <f t="shared" si="45"/>
        <v>1.3654438552378255E-4</v>
      </c>
      <c r="O298" s="1">
        <v>14000</v>
      </c>
      <c r="P298" s="309">
        <v>31429</v>
      </c>
      <c r="Q298" s="309">
        <v>44000</v>
      </c>
      <c r="R298" s="368">
        <f t="shared" si="46"/>
        <v>1.3202338054855487E-4</v>
      </c>
    </row>
    <row r="299" spans="2:18" x14ac:dyDescent="0.3">
      <c r="B299" s="54" t="s">
        <v>1518</v>
      </c>
      <c r="C299" s="54" t="s">
        <v>1469</v>
      </c>
      <c r="E299" s="1">
        <v>219908</v>
      </c>
      <c r="F299" s="309">
        <v>493885</v>
      </c>
      <c r="G299" s="309">
        <v>10860921</v>
      </c>
      <c r="H299" s="368">
        <f t="shared" si="44"/>
        <v>3.4590087852710394E-2</v>
      </c>
      <c r="J299" s="1">
        <v>207020</v>
      </c>
      <c r="K299" s="309">
        <v>501274</v>
      </c>
      <c r="L299" s="309">
        <v>10377371</v>
      </c>
      <c r="M299" s="368">
        <f t="shared" si="45"/>
        <v>3.791350165369041E-2</v>
      </c>
      <c r="O299" s="1">
        <v>207527</v>
      </c>
      <c r="P299" s="309">
        <v>507170</v>
      </c>
      <c r="Q299" s="309">
        <v>10525138</v>
      </c>
      <c r="R299" s="368">
        <f t="shared" si="46"/>
        <v>3.7792511098285166E-2</v>
      </c>
    </row>
    <row r="300" spans="2:18" x14ac:dyDescent="0.3">
      <c r="B300" s="54" t="s">
        <v>1518</v>
      </c>
      <c r="C300" s="54" t="s">
        <v>1470</v>
      </c>
      <c r="E300" s="1">
        <v>137074</v>
      </c>
      <c r="F300" s="309">
        <v>1122183</v>
      </c>
      <c r="G300" s="309">
        <v>15382211</v>
      </c>
      <c r="H300" s="368">
        <f t="shared" si="44"/>
        <v>8.5013882576040079E-3</v>
      </c>
      <c r="J300" s="1">
        <v>137572</v>
      </c>
      <c r="K300" s="309">
        <v>1150169</v>
      </c>
      <c r="L300" s="309">
        <v>15823103</v>
      </c>
      <c r="M300" s="368">
        <f t="shared" si="45"/>
        <v>8.3089311028910293E-3</v>
      </c>
      <c r="O300" s="1">
        <v>140969</v>
      </c>
      <c r="P300" s="309">
        <v>1157427</v>
      </c>
      <c r="Q300" s="309">
        <v>16316134</v>
      </c>
      <c r="R300" s="368">
        <f t="shared" si="46"/>
        <v>8.4737828189481428E-3</v>
      </c>
    </row>
    <row r="301" spans="2:18" x14ac:dyDescent="0.3">
      <c r="B301" s="54" t="s">
        <v>1518</v>
      </c>
      <c r="C301" s="54" t="s">
        <v>26</v>
      </c>
      <c r="E301" s="1">
        <v>1227611</v>
      </c>
      <c r="F301" s="309">
        <v>68597</v>
      </c>
      <c r="G301" s="309">
        <v>8421071</v>
      </c>
      <c r="H301" s="368">
        <f t="shared" si="44"/>
        <v>1.090857779773405E-2</v>
      </c>
      <c r="J301" s="1">
        <v>1326401</v>
      </c>
      <c r="K301" s="309">
        <v>62942</v>
      </c>
      <c r="L301" s="309">
        <v>8348629</v>
      </c>
      <c r="M301" s="368">
        <f t="shared" si="45"/>
        <v>1.1387581616265055E-2</v>
      </c>
      <c r="O301" s="1">
        <v>1410912</v>
      </c>
      <c r="P301" s="309">
        <v>63789</v>
      </c>
      <c r="Q301" s="309">
        <v>9000000</v>
      </c>
      <c r="R301" s="368">
        <f t="shared" si="46"/>
        <v>1.175798226847413E-2</v>
      </c>
    </row>
    <row r="302" spans="2:18" x14ac:dyDescent="0.3">
      <c r="B302" s="54" t="s">
        <v>1041</v>
      </c>
      <c r="C302" s="54" t="s">
        <v>28</v>
      </c>
      <c r="E302" s="1">
        <v>2222</v>
      </c>
      <c r="F302" s="309">
        <v>178047</v>
      </c>
      <c r="G302" s="309">
        <v>39562</v>
      </c>
      <c r="H302" s="368">
        <f t="shared" si="44"/>
        <v>1.3990769006462525E-4</v>
      </c>
      <c r="J302" s="1">
        <v>1826</v>
      </c>
      <c r="K302" s="309">
        <v>172903</v>
      </c>
      <c r="L302" s="309">
        <v>31572</v>
      </c>
      <c r="M302" s="368">
        <f t="shared" si="45"/>
        <v>1.0860679806935696E-4</v>
      </c>
      <c r="O302" s="1">
        <v>1754</v>
      </c>
      <c r="P302" s="309">
        <v>166180</v>
      </c>
      <c r="Q302" s="309">
        <v>29148</v>
      </c>
      <c r="R302" s="368">
        <f t="shared" si="46"/>
        <v>9.7394269253434134E-5</v>
      </c>
    </row>
    <row r="303" spans="2:18" x14ac:dyDescent="0.3">
      <c r="B303" s="54" t="s">
        <v>1041</v>
      </c>
      <c r="C303" s="54" t="s">
        <v>24</v>
      </c>
      <c r="E303" s="1">
        <v>283739</v>
      </c>
      <c r="F303" s="309">
        <v>31867</v>
      </c>
      <c r="G303" s="309">
        <v>904204</v>
      </c>
      <c r="H303" s="368">
        <f t="shared" si="44"/>
        <v>7.9772536174428784E-4</v>
      </c>
      <c r="J303" s="1">
        <v>270823</v>
      </c>
      <c r="K303" s="309">
        <v>25312</v>
      </c>
      <c r="L303" s="309">
        <v>685509</v>
      </c>
      <c r="M303" s="368">
        <f t="shared" si="45"/>
        <v>6.116627778898089E-4</v>
      </c>
      <c r="O303" s="1">
        <v>315943</v>
      </c>
      <c r="P303" s="309">
        <v>27537</v>
      </c>
      <c r="Q303" s="309">
        <v>870000</v>
      </c>
      <c r="R303" s="368">
        <f t="shared" si="46"/>
        <v>7.5938928883415675E-4</v>
      </c>
    </row>
    <row r="304" spans="2:18" x14ac:dyDescent="0.3">
      <c r="B304" s="54" t="s">
        <v>1041</v>
      </c>
      <c r="C304" s="54" t="s">
        <v>25</v>
      </c>
      <c r="E304" s="1">
        <v>363</v>
      </c>
      <c r="F304" s="309">
        <v>291873</v>
      </c>
      <c r="G304" s="309">
        <v>10595</v>
      </c>
      <c r="H304" s="368">
        <f t="shared" si="44"/>
        <v>2.8672840928380095E-5</v>
      </c>
      <c r="J304" s="1">
        <v>363</v>
      </c>
      <c r="K304" s="309">
        <v>291928</v>
      </c>
      <c r="L304" s="309">
        <v>10597</v>
      </c>
      <c r="M304" s="368">
        <f t="shared" si="45"/>
        <v>2.9058185834910698E-5</v>
      </c>
      <c r="O304" s="1">
        <v>320</v>
      </c>
      <c r="P304" s="309">
        <v>300063</v>
      </c>
      <c r="Q304" s="309">
        <v>9602</v>
      </c>
      <c r="R304" s="368">
        <f t="shared" si="46"/>
        <v>2.5964207634021637E-5</v>
      </c>
    </row>
    <row r="305" spans="2:18" x14ac:dyDescent="0.3">
      <c r="B305" s="54" t="s">
        <v>1041</v>
      </c>
      <c r="C305" s="54" t="s">
        <v>1468</v>
      </c>
      <c r="E305" s="1">
        <v>4480</v>
      </c>
      <c r="F305" s="309">
        <v>66107</v>
      </c>
      <c r="G305" s="309">
        <v>29616</v>
      </c>
      <c r="H305" s="368">
        <f t="shared" si="44"/>
        <v>4.1775763225039943E-5</v>
      </c>
      <c r="J305" s="1">
        <v>3558</v>
      </c>
      <c r="K305" s="309">
        <v>63980</v>
      </c>
      <c r="L305" s="309">
        <v>22764</v>
      </c>
      <c r="M305" s="368">
        <f t="shared" si="45"/>
        <v>3.1671739114213947E-5</v>
      </c>
      <c r="O305" s="1">
        <v>5456</v>
      </c>
      <c r="P305" s="309">
        <v>64150</v>
      </c>
      <c r="Q305" s="309">
        <v>35000</v>
      </c>
      <c r="R305" s="368">
        <f t="shared" si="46"/>
        <v>4.9157707126785502E-5</v>
      </c>
    </row>
    <row r="306" spans="2:18" x14ac:dyDescent="0.3">
      <c r="B306" s="54" t="s">
        <v>1041</v>
      </c>
      <c r="C306" s="54" t="s">
        <v>27</v>
      </c>
      <c r="E306" s="1">
        <v>3004</v>
      </c>
      <c r="F306" s="309">
        <v>18405</v>
      </c>
      <c r="G306" s="309">
        <v>5529</v>
      </c>
      <c r="H306" s="368">
        <f t="shared" si="44"/>
        <v>1.5399286066370857E-5</v>
      </c>
      <c r="J306" s="1">
        <v>3106</v>
      </c>
      <c r="K306" s="309">
        <v>18258</v>
      </c>
      <c r="L306" s="309">
        <v>5671</v>
      </c>
      <c r="M306" s="368">
        <f t="shared" si="45"/>
        <v>1.6476439140910504E-5</v>
      </c>
      <c r="O306" s="1">
        <v>3209</v>
      </c>
      <c r="P306" s="309">
        <v>18108</v>
      </c>
      <c r="Q306" s="309">
        <v>5811</v>
      </c>
      <c r="R306" s="368">
        <f t="shared" si="46"/>
        <v>1.7436087826537554E-5</v>
      </c>
    </row>
    <row r="307" spans="2:18" x14ac:dyDescent="0.3">
      <c r="B307" s="54" t="s">
        <v>1041</v>
      </c>
      <c r="C307" s="54" t="s">
        <v>1470</v>
      </c>
      <c r="E307" s="1">
        <v>78503</v>
      </c>
      <c r="F307" s="309">
        <v>901696</v>
      </c>
      <c r="G307" s="309">
        <v>7078586</v>
      </c>
      <c r="H307" s="368">
        <f t="shared" si="44"/>
        <v>3.9121689268753444E-3</v>
      </c>
      <c r="J307" s="1">
        <v>79729</v>
      </c>
      <c r="K307" s="309">
        <v>886161</v>
      </c>
      <c r="L307" s="309">
        <v>7065273</v>
      </c>
      <c r="M307" s="368">
        <f t="shared" si="45"/>
        <v>3.7100729597801521E-3</v>
      </c>
      <c r="O307" s="1">
        <v>80972</v>
      </c>
      <c r="P307" s="309">
        <v>886455</v>
      </c>
      <c r="Q307" s="309">
        <v>7177803</v>
      </c>
      <c r="R307" s="368">
        <f t="shared" si="46"/>
        <v>3.7277913836203133E-3</v>
      </c>
    </row>
    <row r="308" spans="2:18" x14ac:dyDescent="0.3">
      <c r="B308" s="54" t="s">
        <v>1519</v>
      </c>
      <c r="C308" s="54" t="s">
        <v>28</v>
      </c>
      <c r="E308" s="1">
        <v>24006</v>
      </c>
      <c r="F308" s="309">
        <v>31780</v>
      </c>
      <c r="G308" s="309">
        <v>76291</v>
      </c>
      <c r="H308" s="368">
        <f t="shared" si="44"/>
        <v>2.6979671358172804E-4</v>
      </c>
      <c r="J308" s="1">
        <v>24261</v>
      </c>
      <c r="K308" s="309">
        <v>32137</v>
      </c>
      <c r="L308" s="309">
        <v>77968</v>
      </c>
      <c r="M308" s="368">
        <f t="shared" si="45"/>
        <v>2.6820774204585148E-4</v>
      </c>
      <c r="O308" s="1">
        <v>24510</v>
      </c>
      <c r="P308" s="309">
        <v>32495</v>
      </c>
      <c r="Q308" s="309">
        <v>79646</v>
      </c>
      <c r="R308" s="368">
        <f t="shared" si="46"/>
        <v>2.6612680008779386E-4</v>
      </c>
    </row>
    <row r="309" spans="2:18" x14ac:dyDescent="0.3">
      <c r="B309" s="54" t="s">
        <v>1519</v>
      </c>
      <c r="C309" s="54" t="s">
        <v>1472</v>
      </c>
      <c r="E309" s="1">
        <v>3511</v>
      </c>
      <c r="F309" s="309">
        <v>101999</v>
      </c>
      <c r="G309" s="309">
        <v>35812</v>
      </c>
      <c r="H309" s="368">
        <f t="shared" si="44"/>
        <v>8.9463979832422712E-5</v>
      </c>
      <c r="J309" s="1">
        <v>3513</v>
      </c>
      <c r="K309" s="309">
        <v>102126</v>
      </c>
      <c r="L309" s="309">
        <v>35877</v>
      </c>
      <c r="M309" s="368">
        <f t="shared" si="45"/>
        <v>8.8896140812795327E-5</v>
      </c>
      <c r="O309" s="1">
        <v>3514</v>
      </c>
      <c r="P309" s="309">
        <v>102282</v>
      </c>
      <c r="Q309" s="309">
        <v>35942</v>
      </c>
      <c r="R309" s="368">
        <f t="shared" si="46"/>
        <v>8.751470537775843E-5</v>
      </c>
    </row>
    <row r="310" spans="2:18" x14ac:dyDescent="0.3">
      <c r="B310" s="54" t="s">
        <v>1520</v>
      </c>
      <c r="C310" s="54" t="s">
        <v>24</v>
      </c>
      <c r="E310" s="1">
        <v>20000</v>
      </c>
      <c r="F310" s="309">
        <v>10000</v>
      </c>
      <c r="G310" s="309">
        <v>20000</v>
      </c>
      <c r="H310" s="368">
        <f t="shared" si="44"/>
        <v>1.7644809395762191E-5</v>
      </c>
      <c r="J310" s="1">
        <v>20000</v>
      </c>
      <c r="K310" s="309">
        <v>10000</v>
      </c>
      <c r="L310" s="309">
        <v>20000</v>
      </c>
      <c r="M310" s="368">
        <f t="shared" si="45"/>
        <v>1.7845506853733764E-5</v>
      </c>
      <c r="O310" s="1">
        <v>20000</v>
      </c>
      <c r="P310" s="309">
        <v>10000</v>
      </c>
      <c r="Q310" s="309">
        <v>20000</v>
      </c>
      <c r="R310" s="368">
        <f t="shared" si="46"/>
        <v>1.7457225030670271E-5</v>
      </c>
    </row>
    <row r="311" spans="2:18" x14ac:dyDescent="0.3">
      <c r="B311" s="54" t="s">
        <v>1520</v>
      </c>
      <c r="C311" s="54" t="s">
        <v>25</v>
      </c>
      <c r="E311" s="1">
        <v>95</v>
      </c>
      <c r="F311" s="309">
        <v>6105</v>
      </c>
      <c r="G311" s="309">
        <v>58</v>
      </c>
      <c r="H311" s="368">
        <f t="shared" si="44"/>
        <v>1.569631688387018E-7</v>
      </c>
      <c r="J311" s="1">
        <v>135</v>
      </c>
      <c r="K311" s="309">
        <v>6000</v>
      </c>
      <c r="L311" s="309">
        <v>81</v>
      </c>
      <c r="M311" s="368">
        <f t="shared" si="45"/>
        <v>2.2211126286946933E-7</v>
      </c>
      <c r="O311" s="1">
        <v>135</v>
      </c>
      <c r="P311" s="309">
        <v>6000</v>
      </c>
      <c r="Q311" s="309">
        <v>81</v>
      </c>
      <c r="R311" s="368">
        <f t="shared" si="46"/>
        <v>2.1902737120972222E-7</v>
      </c>
    </row>
    <row r="312" spans="2:18" x14ac:dyDescent="0.3">
      <c r="B312" s="54" t="s">
        <v>1520</v>
      </c>
      <c r="C312" s="54" t="s">
        <v>26</v>
      </c>
      <c r="E312" s="1">
        <v>25000</v>
      </c>
      <c r="F312" s="309">
        <v>10000</v>
      </c>
      <c r="G312" s="309">
        <v>25000</v>
      </c>
      <c r="H312" s="368">
        <f t="shared" si="44"/>
        <v>3.2384769697744058E-5</v>
      </c>
      <c r="J312" s="1">
        <v>25000</v>
      </c>
      <c r="K312" s="309">
        <v>10000</v>
      </c>
      <c r="L312" s="309">
        <v>25000</v>
      </c>
      <c r="M312" s="368">
        <f t="shared" si="45"/>
        <v>3.4100154696852186E-5</v>
      </c>
      <c r="O312" s="1">
        <v>25000</v>
      </c>
      <c r="P312" s="309">
        <v>10000</v>
      </c>
      <c r="Q312" s="309">
        <v>25000</v>
      </c>
      <c r="R312" s="368">
        <f t="shared" si="46"/>
        <v>3.2661061856872581E-5</v>
      </c>
    </row>
    <row r="313" spans="2:18" x14ac:dyDescent="0.3">
      <c r="B313" s="54" t="s">
        <v>1521</v>
      </c>
      <c r="C313" s="54" t="s">
        <v>24</v>
      </c>
      <c r="E313" s="1"/>
      <c r="F313" s="309"/>
      <c r="G313" s="309"/>
      <c r="H313" s="368">
        <f t="shared" si="44"/>
        <v>0</v>
      </c>
      <c r="J313" s="1">
        <v>0</v>
      </c>
      <c r="K313" s="309"/>
      <c r="L313" s="309">
        <v>0</v>
      </c>
      <c r="M313" s="368">
        <f t="shared" si="45"/>
        <v>0</v>
      </c>
      <c r="O313" s="1">
        <v>0</v>
      </c>
      <c r="P313" s="309"/>
      <c r="Q313" s="309">
        <v>0</v>
      </c>
      <c r="R313" s="368">
        <f t="shared" si="46"/>
        <v>0</v>
      </c>
    </row>
    <row r="314" spans="2:18" x14ac:dyDescent="0.3">
      <c r="B314" s="54" t="s">
        <v>1521</v>
      </c>
      <c r="C314" s="54" t="s">
        <v>25</v>
      </c>
      <c r="E314" s="1">
        <v>5388</v>
      </c>
      <c r="F314" s="309">
        <v>169232</v>
      </c>
      <c r="G314" s="309">
        <v>91182</v>
      </c>
      <c r="H314" s="368">
        <f t="shared" si="44"/>
        <v>2.4676233898362945E-4</v>
      </c>
      <c r="J314" s="1">
        <v>3270</v>
      </c>
      <c r="K314" s="309">
        <v>177462</v>
      </c>
      <c r="L314" s="309">
        <v>58030</v>
      </c>
      <c r="M314" s="368">
        <f t="shared" si="45"/>
        <v>1.591248961026581E-4</v>
      </c>
      <c r="O314" s="1">
        <v>3400</v>
      </c>
      <c r="P314" s="309">
        <v>235676</v>
      </c>
      <c r="Q314" s="309">
        <v>80130</v>
      </c>
      <c r="R314" s="368">
        <f t="shared" si="46"/>
        <v>2.166748550004326E-4</v>
      </c>
    </row>
    <row r="315" spans="2:18" x14ac:dyDescent="0.3">
      <c r="B315" s="54" t="s">
        <v>1521</v>
      </c>
      <c r="C315" s="54" t="s">
        <v>1468</v>
      </c>
      <c r="E315" s="1"/>
      <c r="F315" s="309"/>
      <c r="G315" s="309"/>
      <c r="H315" s="368">
        <f t="shared" si="44"/>
        <v>0</v>
      </c>
      <c r="J315" s="1">
        <v>0</v>
      </c>
      <c r="K315" s="309"/>
      <c r="L315" s="309">
        <v>0</v>
      </c>
      <c r="M315" s="368">
        <f t="shared" si="45"/>
        <v>0</v>
      </c>
      <c r="O315" s="1">
        <v>0</v>
      </c>
      <c r="P315" s="309"/>
      <c r="Q315" s="309">
        <v>0</v>
      </c>
      <c r="R315" s="368">
        <f t="shared" si="46"/>
        <v>0</v>
      </c>
    </row>
    <row r="316" spans="2:18" x14ac:dyDescent="0.3">
      <c r="B316" s="54" t="s">
        <v>1521</v>
      </c>
      <c r="C316" s="54" t="s">
        <v>27</v>
      </c>
      <c r="E316" s="1"/>
      <c r="F316" s="309"/>
      <c r="G316" s="309"/>
      <c r="H316" s="368">
        <f t="shared" si="44"/>
        <v>0</v>
      </c>
      <c r="J316" s="1">
        <v>0</v>
      </c>
      <c r="K316" s="309"/>
      <c r="L316" s="309">
        <v>0</v>
      </c>
      <c r="M316" s="368">
        <f t="shared" si="45"/>
        <v>0</v>
      </c>
      <c r="O316" s="1">
        <v>0</v>
      </c>
      <c r="P316" s="309"/>
      <c r="Q316" s="309">
        <v>0</v>
      </c>
      <c r="R316" s="368">
        <f t="shared" si="46"/>
        <v>0</v>
      </c>
    </row>
    <row r="317" spans="2:18" x14ac:dyDescent="0.3">
      <c r="B317" s="54" t="s">
        <v>1521</v>
      </c>
      <c r="C317" s="54" t="s">
        <v>1469</v>
      </c>
      <c r="E317" s="1">
        <v>0</v>
      </c>
      <c r="F317" s="309"/>
      <c r="G317" s="309">
        <v>0</v>
      </c>
      <c r="H317" s="368">
        <f t="shared" si="44"/>
        <v>0</v>
      </c>
      <c r="J317" s="1">
        <v>0</v>
      </c>
      <c r="K317" s="309"/>
      <c r="L317" s="309">
        <v>0</v>
      </c>
      <c r="M317" s="368">
        <f t="shared" si="45"/>
        <v>0</v>
      </c>
      <c r="O317" s="1">
        <v>0</v>
      </c>
      <c r="P317" s="309"/>
      <c r="Q317" s="309">
        <v>0</v>
      </c>
      <c r="R317" s="368">
        <f t="shared" si="46"/>
        <v>0</v>
      </c>
    </row>
    <row r="318" spans="2:18" x14ac:dyDescent="0.3">
      <c r="B318" s="54" t="s">
        <v>1521</v>
      </c>
      <c r="C318" s="54" t="s">
        <v>26</v>
      </c>
      <c r="E318" s="1">
        <v>169753</v>
      </c>
      <c r="F318" s="309">
        <v>42018</v>
      </c>
      <c r="G318" s="309">
        <v>713263</v>
      </c>
      <c r="H318" s="368">
        <f t="shared" si="44"/>
        <v>9.2395431955688079E-4</v>
      </c>
      <c r="J318" s="1">
        <v>154580</v>
      </c>
      <c r="K318" s="309">
        <v>29129</v>
      </c>
      <c r="L318" s="309">
        <v>450270</v>
      </c>
      <c r="M318" s="368">
        <f t="shared" si="45"/>
        <v>6.1417106621406542E-4</v>
      </c>
      <c r="O318" s="1">
        <v>166980</v>
      </c>
      <c r="P318" s="309">
        <v>50699</v>
      </c>
      <c r="Q318" s="309">
        <v>846580</v>
      </c>
      <c r="R318" s="368">
        <f t="shared" si="46"/>
        <v>1.1060080698716477E-3</v>
      </c>
    </row>
    <row r="319" spans="2:18" x14ac:dyDescent="0.3">
      <c r="B319" s="54" t="s">
        <v>1522</v>
      </c>
      <c r="C319" s="54" t="s">
        <v>24</v>
      </c>
      <c r="E319" s="1">
        <v>69282</v>
      </c>
      <c r="F319" s="309">
        <v>12124</v>
      </c>
      <c r="G319" s="309">
        <v>84000</v>
      </c>
      <c r="H319" s="368">
        <f t="shared" si="44"/>
        <v>7.4108199462201207E-5</v>
      </c>
      <c r="J319" s="1">
        <v>93756</v>
      </c>
      <c r="K319" s="309">
        <v>12053</v>
      </c>
      <c r="L319" s="309">
        <v>113000</v>
      </c>
      <c r="M319" s="368">
        <f t="shared" si="45"/>
        <v>1.0082711372359576E-4</v>
      </c>
      <c r="O319" s="1">
        <v>79130</v>
      </c>
      <c r="P319" s="309">
        <v>12006</v>
      </c>
      <c r="Q319" s="309">
        <v>95000</v>
      </c>
      <c r="R319" s="368">
        <f t="shared" si="46"/>
        <v>8.2921818895683794E-5</v>
      </c>
    </row>
    <row r="320" spans="2:18" x14ac:dyDescent="0.3">
      <c r="B320" s="54" t="s">
        <v>1522</v>
      </c>
      <c r="C320" s="54" t="s">
        <v>25</v>
      </c>
      <c r="E320" s="1">
        <v>3979</v>
      </c>
      <c r="F320" s="309">
        <v>21053</v>
      </c>
      <c r="G320" s="309">
        <v>8377</v>
      </c>
      <c r="H320" s="368">
        <f t="shared" si="44"/>
        <v>2.2670352851065604E-5</v>
      </c>
      <c r="J320" s="1">
        <v>4030</v>
      </c>
      <c r="K320" s="309">
        <v>21107</v>
      </c>
      <c r="L320" s="309">
        <v>8506</v>
      </c>
      <c r="M320" s="368">
        <f t="shared" si="45"/>
        <v>2.3324424715650692E-5</v>
      </c>
      <c r="O320" s="1">
        <v>4081</v>
      </c>
      <c r="P320" s="309">
        <v>21157</v>
      </c>
      <c r="Q320" s="309">
        <v>8634</v>
      </c>
      <c r="R320" s="368">
        <f t="shared" si="46"/>
        <v>2.3346695345984466E-5</v>
      </c>
    </row>
    <row r="321" spans="2:18" x14ac:dyDescent="0.3">
      <c r="B321" s="54" t="s">
        <v>1522</v>
      </c>
      <c r="C321" s="54" t="s">
        <v>1468</v>
      </c>
      <c r="E321" s="1">
        <v>284</v>
      </c>
      <c r="F321" s="309">
        <v>34261</v>
      </c>
      <c r="G321" s="309">
        <v>973</v>
      </c>
      <c r="H321" s="368">
        <f t="shared" si="44"/>
        <v>1.3724951923947821E-6</v>
      </c>
      <c r="J321" s="1">
        <v>295</v>
      </c>
      <c r="K321" s="309">
        <v>33898</v>
      </c>
      <c r="L321" s="309">
        <v>1000</v>
      </c>
      <c r="M321" s="368">
        <f t="shared" si="45"/>
        <v>1.391308167027497E-6</v>
      </c>
      <c r="O321" s="1">
        <v>297</v>
      </c>
      <c r="P321" s="309">
        <v>33670</v>
      </c>
      <c r="Q321" s="309">
        <v>1000</v>
      </c>
      <c r="R321" s="368">
        <f t="shared" si="46"/>
        <v>1.4045059179081572E-6</v>
      </c>
    </row>
    <row r="322" spans="2:18" x14ac:dyDescent="0.3">
      <c r="B322" s="54" t="s">
        <v>1522</v>
      </c>
      <c r="C322" s="54" t="s">
        <v>1470</v>
      </c>
      <c r="E322" s="1">
        <v>57667</v>
      </c>
      <c r="F322" s="309">
        <v>966145</v>
      </c>
      <c r="G322" s="309">
        <v>5571468</v>
      </c>
      <c r="H322" s="368">
        <f t="shared" si="44"/>
        <v>3.079220057039686E-3</v>
      </c>
      <c r="J322" s="1">
        <v>58214</v>
      </c>
      <c r="K322" s="309">
        <v>965177</v>
      </c>
      <c r="L322" s="309">
        <v>5618683</v>
      </c>
      <c r="M322" s="368">
        <f t="shared" si="45"/>
        <v>2.9504484636158328E-3</v>
      </c>
      <c r="O322" s="1">
        <v>58762</v>
      </c>
      <c r="P322" s="309">
        <v>964211</v>
      </c>
      <c r="Q322" s="309">
        <v>5665898</v>
      </c>
      <c r="R322" s="368">
        <f t="shared" si="46"/>
        <v>2.9425836491850732E-3</v>
      </c>
    </row>
    <row r="323" spans="2:18" x14ac:dyDescent="0.3">
      <c r="B323" s="54" t="s">
        <v>1522</v>
      </c>
      <c r="C323" s="54" t="s">
        <v>26</v>
      </c>
      <c r="E323" s="1">
        <v>431</v>
      </c>
      <c r="F323" s="309">
        <v>17773</v>
      </c>
      <c r="G323" s="309">
        <v>766</v>
      </c>
      <c r="H323" s="368">
        <f t="shared" ref="H323:H386" si="47">G323/(VLOOKUP($C323,$W$5:$Z$13,2,FALSE)*10^6)</f>
        <v>9.92269343538878E-7</v>
      </c>
      <c r="J323" s="1">
        <v>445</v>
      </c>
      <c r="K323" s="309">
        <v>17933</v>
      </c>
      <c r="L323" s="309">
        <v>798</v>
      </c>
      <c r="M323" s="368">
        <f t="shared" ref="M323:M386" si="48">L323/(VLOOKUP($C323,$W$5:$Z$13,3,FALSE)*10^6)</f>
        <v>1.0884769379235218E-6</v>
      </c>
      <c r="O323" s="1">
        <v>458</v>
      </c>
      <c r="P323" s="309">
        <v>18144</v>
      </c>
      <c r="Q323" s="309">
        <v>831</v>
      </c>
      <c r="R323" s="368">
        <f t="shared" ref="R323:R386" si="49">Q323/(VLOOKUP($C323,$W$5:$Z$13,4,FALSE)*10^6)</f>
        <v>1.0856536961224445E-6</v>
      </c>
    </row>
    <row r="324" spans="2:18" x14ac:dyDescent="0.3">
      <c r="B324" s="54" t="s">
        <v>1523</v>
      </c>
      <c r="C324" s="54" t="s">
        <v>24</v>
      </c>
      <c r="E324" s="1">
        <v>3166792</v>
      </c>
      <c r="F324" s="309">
        <v>33119</v>
      </c>
      <c r="G324" s="309">
        <v>10488193</v>
      </c>
      <c r="H324" s="368">
        <f t="shared" si="47"/>
        <v>9.2531083195483629E-3</v>
      </c>
      <c r="J324" s="1">
        <v>2415024</v>
      </c>
      <c r="K324" s="309">
        <v>41904</v>
      </c>
      <c r="L324" s="309">
        <v>10119847</v>
      </c>
      <c r="M324" s="368">
        <f t="shared" si="48"/>
        <v>9.0296899498618528E-3</v>
      </c>
      <c r="O324" s="1">
        <v>2274306</v>
      </c>
      <c r="P324" s="309">
        <v>42368</v>
      </c>
      <c r="Q324" s="309">
        <v>9635735</v>
      </c>
      <c r="R324" s="368">
        <f t="shared" si="49"/>
        <v>8.4106597115452802E-3</v>
      </c>
    </row>
    <row r="325" spans="2:18" x14ac:dyDescent="0.3">
      <c r="B325" s="54" t="s">
        <v>1523</v>
      </c>
      <c r="C325" s="54" t="s">
        <v>25</v>
      </c>
      <c r="E325" s="1">
        <v>69611</v>
      </c>
      <c r="F325" s="309">
        <v>139198</v>
      </c>
      <c r="G325" s="309">
        <v>968970</v>
      </c>
      <c r="H325" s="368">
        <f t="shared" si="47"/>
        <v>2.6222862363730498E-3</v>
      </c>
      <c r="J325" s="1">
        <v>66635</v>
      </c>
      <c r="K325" s="309">
        <v>140033</v>
      </c>
      <c r="L325" s="309">
        <v>933109</v>
      </c>
      <c r="M325" s="368">
        <f t="shared" si="48"/>
        <v>2.5586915849983662E-3</v>
      </c>
      <c r="O325" s="1">
        <v>70362</v>
      </c>
      <c r="P325" s="309">
        <v>131396</v>
      </c>
      <c r="Q325" s="309">
        <v>924528</v>
      </c>
      <c r="R325" s="368">
        <f t="shared" si="49"/>
        <v>2.49996219073805E-3</v>
      </c>
    </row>
    <row r="326" spans="2:18" x14ac:dyDescent="0.3">
      <c r="B326" s="54" t="s">
        <v>1523</v>
      </c>
      <c r="C326" s="54" t="s">
        <v>1468</v>
      </c>
      <c r="E326" s="1">
        <v>53107</v>
      </c>
      <c r="F326" s="309">
        <v>28437</v>
      </c>
      <c r="G326" s="309">
        <v>151018</v>
      </c>
      <c r="H326" s="368">
        <f t="shared" si="47"/>
        <v>2.1302310273902899E-4</v>
      </c>
      <c r="J326" s="1">
        <v>63362</v>
      </c>
      <c r="K326" s="309">
        <v>27123</v>
      </c>
      <c r="L326" s="309">
        <v>171854</v>
      </c>
      <c r="M326" s="368">
        <f t="shared" si="48"/>
        <v>2.3910187373634348E-4</v>
      </c>
      <c r="O326" s="1">
        <v>57576</v>
      </c>
      <c r="P326" s="309">
        <v>29636</v>
      </c>
      <c r="Q326" s="309">
        <v>170630</v>
      </c>
      <c r="R326" s="368">
        <f t="shared" si="49"/>
        <v>2.3965084477266886E-4</v>
      </c>
    </row>
    <row r="327" spans="2:18" x14ac:dyDescent="0.3">
      <c r="B327" s="54" t="s">
        <v>1523</v>
      </c>
      <c r="C327" s="54" t="s">
        <v>27</v>
      </c>
      <c r="E327" s="1">
        <v>38073</v>
      </c>
      <c r="F327" s="309">
        <v>22711</v>
      </c>
      <c r="G327" s="309">
        <v>86468</v>
      </c>
      <c r="H327" s="368">
        <f t="shared" si="47"/>
        <v>2.4082934845124891E-4</v>
      </c>
      <c r="J327" s="1">
        <v>64720</v>
      </c>
      <c r="K327" s="309">
        <v>23093</v>
      </c>
      <c r="L327" s="309">
        <v>149455</v>
      </c>
      <c r="M327" s="368">
        <f t="shared" si="48"/>
        <v>4.3422433641417374E-4</v>
      </c>
      <c r="O327" s="1">
        <v>54543</v>
      </c>
      <c r="P327" s="309">
        <v>23032</v>
      </c>
      <c r="Q327" s="309">
        <v>125623</v>
      </c>
      <c r="R327" s="368">
        <f t="shared" si="49"/>
        <v>3.7693575306025246E-4</v>
      </c>
    </row>
    <row r="328" spans="2:18" x14ac:dyDescent="0.3">
      <c r="B328" s="54" t="s">
        <v>1523</v>
      </c>
      <c r="C328" s="54" t="s">
        <v>1470</v>
      </c>
      <c r="E328" s="1">
        <v>27492</v>
      </c>
      <c r="F328" s="309">
        <v>413218</v>
      </c>
      <c r="G328" s="309">
        <v>1136020</v>
      </c>
      <c r="H328" s="368">
        <f t="shared" si="47"/>
        <v>6.278516845467342E-4</v>
      </c>
      <c r="J328" s="1">
        <v>27827</v>
      </c>
      <c r="K328" s="309">
        <v>465045</v>
      </c>
      <c r="L328" s="309">
        <v>1294081</v>
      </c>
      <c r="M328" s="368">
        <f t="shared" si="48"/>
        <v>6.7953990254378835E-4</v>
      </c>
      <c r="O328" s="1">
        <v>32069</v>
      </c>
      <c r="P328" s="309">
        <v>467471</v>
      </c>
      <c r="Q328" s="309">
        <v>1499134</v>
      </c>
      <c r="R328" s="368">
        <f t="shared" si="49"/>
        <v>7.7857511666066268E-4</v>
      </c>
    </row>
    <row r="329" spans="2:18" x14ac:dyDescent="0.3">
      <c r="B329" s="54" t="s">
        <v>1523</v>
      </c>
      <c r="C329" s="54" t="s">
        <v>26</v>
      </c>
      <c r="E329" s="1">
        <v>1696907</v>
      </c>
      <c r="F329" s="309">
        <v>27361</v>
      </c>
      <c r="G329" s="309">
        <v>4642966</v>
      </c>
      <c r="H329" s="368">
        <f t="shared" si="47"/>
        <v>6.0144553849782378E-3</v>
      </c>
      <c r="J329" s="1">
        <v>1747939</v>
      </c>
      <c r="K329" s="309">
        <v>27679</v>
      </c>
      <c r="L329" s="309">
        <v>4838074</v>
      </c>
      <c r="M329" s="368">
        <f t="shared" si="48"/>
        <v>6.5991628733927379E-3</v>
      </c>
      <c r="O329" s="1">
        <v>1789372</v>
      </c>
      <c r="P329" s="309">
        <v>29705</v>
      </c>
      <c r="Q329" s="309">
        <v>5315270</v>
      </c>
      <c r="R329" s="368">
        <f t="shared" si="49"/>
        <v>6.9440944902391648E-3</v>
      </c>
    </row>
    <row r="330" spans="2:18" x14ac:dyDescent="0.3">
      <c r="B330" s="54" t="s">
        <v>1524</v>
      </c>
      <c r="C330" s="54" t="s">
        <v>25</v>
      </c>
      <c r="E330" s="1">
        <v>85</v>
      </c>
      <c r="F330" s="309">
        <v>143882</v>
      </c>
      <c r="G330" s="309">
        <v>1223</v>
      </c>
      <c r="H330" s="368">
        <f t="shared" si="47"/>
        <v>3.3097578532712466E-6</v>
      </c>
      <c r="J330" s="1">
        <v>82</v>
      </c>
      <c r="K330" s="309">
        <v>144268</v>
      </c>
      <c r="L330" s="309">
        <v>1183</v>
      </c>
      <c r="M330" s="368">
        <f t="shared" si="48"/>
        <v>3.2439212836368174E-6</v>
      </c>
      <c r="O330" s="1">
        <v>80</v>
      </c>
      <c r="P330" s="309">
        <v>144750</v>
      </c>
      <c r="Q330" s="309">
        <v>1158</v>
      </c>
      <c r="R330" s="368">
        <f t="shared" si="49"/>
        <v>3.1312801958130659E-6</v>
      </c>
    </row>
    <row r="331" spans="2:18" x14ac:dyDescent="0.3">
      <c r="B331" s="54" t="s">
        <v>1525</v>
      </c>
      <c r="C331" s="54" t="s">
        <v>28</v>
      </c>
      <c r="E331" s="1">
        <v>2725</v>
      </c>
      <c r="F331" s="309">
        <v>250037</v>
      </c>
      <c r="G331" s="309">
        <v>68135</v>
      </c>
      <c r="H331" s="368">
        <f t="shared" si="47"/>
        <v>2.4095370462952432E-4</v>
      </c>
      <c r="J331" s="1">
        <v>2893</v>
      </c>
      <c r="K331" s="309">
        <v>250080</v>
      </c>
      <c r="L331" s="309">
        <v>72348</v>
      </c>
      <c r="M331" s="368">
        <f t="shared" si="48"/>
        <v>2.4887509903464579E-4</v>
      </c>
      <c r="O331" s="1">
        <v>3041</v>
      </c>
      <c r="P331" s="309">
        <v>250016</v>
      </c>
      <c r="Q331" s="309">
        <v>76030</v>
      </c>
      <c r="R331" s="368">
        <f t="shared" si="49"/>
        <v>2.540444041216755E-4</v>
      </c>
    </row>
    <row r="332" spans="2:18" x14ac:dyDescent="0.3">
      <c r="B332" s="54" t="s">
        <v>1525</v>
      </c>
      <c r="C332" s="54" t="s">
        <v>24</v>
      </c>
      <c r="E332" s="1">
        <v>320</v>
      </c>
      <c r="F332" s="309">
        <v>30031</v>
      </c>
      <c r="G332" s="309">
        <v>961</v>
      </c>
      <c r="H332" s="368">
        <f t="shared" si="47"/>
        <v>8.478330914663733E-7</v>
      </c>
      <c r="J332" s="1">
        <v>402</v>
      </c>
      <c r="K332" s="309">
        <v>30050</v>
      </c>
      <c r="L332" s="309">
        <v>1208</v>
      </c>
      <c r="M332" s="368">
        <f t="shared" si="48"/>
        <v>1.0778686139655194E-6</v>
      </c>
      <c r="O332" s="1">
        <v>467</v>
      </c>
      <c r="P332" s="309">
        <v>29979</v>
      </c>
      <c r="Q332" s="309">
        <v>1400</v>
      </c>
      <c r="R332" s="368">
        <f t="shared" si="49"/>
        <v>1.2220057521469189E-6</v>
      </c>
    </row>
    <row r="333" spans="2:18" x14ac:dyDescent="0.3">
      <c r="B333" s="54" t="s">
        <v>1525</v>
      </c>
      <c r="C333" s="54" t="s">
        <v>25</v>
      </c>
      <c r="E333" s="1">
        <v>23</v>
      </c>
      <c r="F333" s="309">
        <v>117391</v>
      </c>
      <c r="G333" s="309">
        <v>270</v>
      </c>
      <c r="H333" s="368">
        <f t="shared" si="47"/>
        <v>7.3069061355947393E-7</v>
      </c>
      <c r="J333" s="1">
        <v>2</v>
      </c>
      <c r="K333" s="309">
        <v>120000</v>
      </c>
      <c r="L333" s="309">
        <v>24</v>
      </c>
      <c r="M333" s="368">
        <f t="shared" si="48"/>
        <v>6.5810744553916842E-8</v>
      </c>
      <c r="O333" s="1">
        <v>3</v>
      </c>
      <c r="P333" s="309">
        <v>146667</v>
      </c>
      <c r="Q333" s="309">
        <v>44</v>
      </c>
      <c r="R333" s="368">
        <f t="shared" si="49"/>
        <v>1.18977831274417E-7</v>
      </c>
    </row>
    <row r="334" spans="2:18" x14ac:dyDescent="0.3">
      <c r="B334" s="54" t="s">
        <v>1525</v>
      </c>
      <c r="C334" s="54" t="s">
        <v>1468</v>
      </c>
      <c r="E334" s="1">
        <v>3027</v>
      </c>
      <c r="F334" s="309">
        <v>30000</v>
      </c>
      <c r="G334" s="309">
        <v>9081</v>
      </c>
      <c r="H334" s="368">
        <f t="shared" si="47"/>
        <v>1.2809484935392617E-5</v>
      </c>
      <c r="J334" s="1">
        <v>2350</v>
      </c>
      <c r="K334" s="309">
        <v>30004</v>
      </c>
      <c r="L334" s="309">
        <v>7051</v>
      </c>
      <c r="M334" s="368">
        <f t="shared" si="48"/>
        <v>9.8101138857108823E-6</v>
      </c>
      <c r="O334" s="1">
        <v>1916</v>
      </c>
      <c r="P334" s="309">
        <v>30000</v>
      </c>
      <c r="Q334" s="309">
        <v>5748</v>
      </c>
      <c r="R334" s="368">
        <f t="shared" si="49"/>
        <v>8.0731000161360867E-6</v>
      </c>
    </row>
    <row r="335" spans="2:18" x14ac:dyDescent="0.3">
      <c r="B335" s="54" t="s">
        <v>1525</v>
      </c>
      <c r="C335" s="54" t="s">
        <v>1470</v>
      </c>
      <c r="E335" s="1">
        <v>38000</v>
      </c>
      <c r="F335" s="309">
        <v>429211</v>
      </c>
      <c r="G335" s="309">
        <v>1631000</v>
      </c>
      <c r="H335" s="368">
        <f t="shared" si="47"/>
        <v>9.0141555385972385E-4</v>
      </c>
      <c r="J335" s="1">
        <v>37000</v>
      </c>
      <c r="K335" s="309">
        <v>458649</v>
      </c>
      <c r="L335" s="309">
        <v>1697000</v>
      </c>
      <c r="M335" s="368">
        <f t="shared" si="48"/>
        <v>8.9111826432565564E-4</v>
      </c>
      <c r="O335" s="1">
        <v>35120</v>
      </c>
      <c r="P335" s="309">
        <v>431355</v>
      </c>
      <c r="Q335" s="309">
        <v>1514918</v>
      </c>
      <c r="R335" s="368">
        <f t="shared" si="49"/>
        <v>7.8677253573152092E-4</v>
      </c>
    </row>
    <row r="336" spans="2:18" x14ac:dyDescent="0.3">
      <c r="B336" s="54" t="s">
        <v>1526</v>
      </c>
      <c r="C336" s="54" t="s">
        <v>25</v>
      </c>
      <c r="E336" s="1">
        <v>21200</v>
      </c>
      <c r="F336" s="309">
        <v>288632</v>
      </c>
      <c r="G336" s="309">
        <v>611900</v>
      </c>
      <c r="H336" s="368">
        <f t="shared" si="47"/>
        <v>1.6559614312483041E-3</v>
      </c>
      <c r="J336" s="1">
        <v>21400</v>
      </c>
      <c r="K336" s="309">
        <v>280514</v>
      </c>
      <c r="L336" s="309">
        <v>600300</v>
      </c>
      <c r="M336" s="368">
        <f t="shared" si="48"/>
        <v>1.6460912481548449E-3</v>
      </c>
      <c r="O336" s="1">
        <v>21400</v>
      </c>
      <c r="P336" s="309">
        <v>289206</v>
      </c>
      <c r="Q336" s="309">
        <v>618900</v>
      </c>
      <c r="R336" s="368">
        <f t="shared" si="49"/>
        <v>1.6735313585394701E-3</v>
      </c>
    </row>
    <row r="337" spans="2:18" x14ac:dyDescent="0.3">
      <c r="B337" s="54" t="s">
        <v>1526</v>
      </c>
      <c r="C337" s="54" t="s">
        <v>1468</v>
      </c>
      <c r="E337" s="1"/>
      <c r="F337" s="309"/>
      <c r="G337" s="309"/>
      <c r="H337" s="368">
        <f t="shared" si="47"/>
        <v>0</v>
      </c>
      <c r="J337" s="1">
        <v>0</v>
      </c>
      <c r="K337" s="309"/>
      <c r="L337" s="309">
        <v>0</v>
      </c>
      <c r="M337" s="368">
        <f t="shared" si="48"/>
        <v>0</v>
      </c>
      <c r="O337" s="1">
        <v>0</v>
      </c>
      <c r="P337" s="309"/>
      <c r="Q337" s="309">
        <v>0</v>
      </c>
      <c r="R337" s="368">
        <f t="shared" si="49"/>
        <v>0</v>
      </c>
    </row>
    <row r="338" spans="2:18" x14ac:dyDescent="0.3">
      <c r="B338" s="54" t="s">
        <v>1526</v>
      </c>
      <c r="C338" s="54" t="s">
        <v>1469</v>
      </c>
      <c r="E338" s="1">
        <v>11800</v>
      </c>
      <c r="F338" s="309">
        <v>364661</v>
      </c>
      <c r="G338" s="309">
        <v>430300</v>
      </c>
      <c r="H338" s="368">
        <f t="shared" si="47"/>
        <v>1.3704284197464727E-3</v>
      </c>
      <c r="J338" s="1">
        <v>9800</v>
      </c>
      <c r="K338" s="309">
        <v>362653</v>
      </c>
      <c r="L338" s="309">
        <v>355400</v>
      </c>
      <c r="M338" s="368">
        <f t="shared" si="48"/>
        <v>1.2984462526897777E-3</v>
      </c>
      <c r="O338" s="1">
        <v>10500</v>
      </c>
      <c r="P338" s="309">
        <v>477524</v>
      </c>
      <c r="Q338" s="309">
        <v>501400</v>
      </c>
      <c r="R338" s="368">
        <f t="shared" si="49"/>
        <v>1.8003721247816591E-3</v>
      </c>
    </row>
    <row r="339" spans="2:18" x14ac:dyDescent="0.3">
      <c r="B339" s="54" t="s">
        <v>1526</v>
      </c>
      <c r="C339" s="54" t="s">
        <v>26</v>
      </c>
      <c r="E339" s="1">
        <v>194300</v>
      </c>
      <c r="F339" s="309">
        <v>41276</v>
      </c>
      <c r="G339" s="309">
        <v>802000</v>
      </c>
      <c r="H339" s="368">
        <f t="shared" si="47"/>
        <v>1.0389034119036294E-3</v>
      </c>
      <c r="J339" s="1">
        <v>177800</v>
      </c>
      <c r="K339" s="309">
        <v>28211</v>
      </c>
      <c r="L339" s="309">
        <v>501600</v>
      </c>
      <c r="M339" s="368">
        <f t="shared" si="48"/>
        <v>6.8418550383764231E-4</v>
      </c>
      <c r="O339" s="1">
        <v>197600</v>
      </c>
      <c r="P339" s="309">
        <v>46264</v>
      </c>
      <c r="Q339" s="309">
        <v>914180</v>
      </c>
      <c r="R339" s="368">
        <f t="shared" si="49"/>
        <v>1.1943235811326311E-3</v>
      </c>
    </row>
    <row r="340" spans="2:18" x14ac:dyDescent="0.3">
      <c r="B340" s="54" t="s">
        <v>6</v>
      </c>
      <c r="C340" s="54" t="s">
        <v>24</v>
      </c>
      <c r="E340" s="1">
        <v>1435699</v>
      </c>
      <c r="F340" s="309">
        <v>101239</v>
      </c>
      <c r="G340" s="309">
        <v>14534897</v>
      </c>
      <c r="H340" s="368">
        <f t="shared" si="47"/>
        <v>1.2823274357601786E-2</v>
      </c>
      <c r="J340" s="1">
        <v>1426260</v>
      </c>
      <c r="K340" s="309">
        <v>88206</v>
      </c>
      <c r="L340" s="309">
        <v>12580430</v>
      </c>
      <c r="M340" s="368">
        <f t="shared" si="48"/>
        <v>1.1225207489395893E-2</v>
      </c>
      <c r="O340" s="1">
        <v>1506100</v>
      </c>
      <c r="P340" s="309">
        <v>85287</v>
      </c>
      <c r="Q340" s="309">
        <v>12845020</v>
      </c>
      <c r="R340" s="368">
        <f t="shared" si="49"/>
        <v>1.1211920233173012E-2</v>
      </c>
    </row>
    <row r="341" spans="2:18" x14ac:dyDescent="0.3">
      <c r="B341" s="54" t="s">
        <v>6</v>
      </c>
      <c r="C341" s="54" t="s">
        <v>25</v>
      </c>
      <c r="E341" s="1">
        <v>194055</v>
      </c>
      <c r="F341" s="309">
        <v>440460</v>
      </c>
      <c r="G341" s="309">
        <v>8547354</v>
      </c>
      <c r="H341" s="368">
        <f t="shared" si="47"/>
        <v>2.3131375328037124E-2</v>
      </c>
      <c r="J341" s="1">
        <v>199560</v>
      </c>
      <c r="K341" s="309">
        <v>393886</v>
      </c>
      <c r="L341" s="309">
        <v>7860380</v>
      </c>
      <c r="M341" s="368">
        <f t="shared" si="48"/>
        <v>2.1554060844863204E-2</v>
      </c>
      <c r="O341" s="1">
        <v>207160</v>
      </c>
      <c r="P341" s="309">
        <v>413227</v>
      </c>
      <c r="Q341" s="309">
        <v>8560410</v>
      </c>
      <c r="R341" s="368">
        <f t="shared" si="49"/>
        <v>2.3147704923178001E-2</v>
      </c>
    </row>
    <row r="342" spans="2:18" x14ac:dyDescent="0.3">
      <c r="B342" s="54" t="s">
        <v>6</v>
      </c>
      <c r="C342" s="54" t="s">
        <v>1468</v>
      </c>
      <c r="E342" s="1">
        <v>17147</v>
      </c>
      <c r="F342" s="309">
        <v>53971</v>
      </c>
      <c r="G342" s="309">
        <v>92544</v>
      </c>
      <c r="H342" s="368">
        <f t="shared" si="47"/>
        <v>1.3054079659299353E-4</v>
      </c>
      <c r="J342" s="1">
        <v>13280</v>
      </c>
      <c r="K342" s="309">
        <v>53788</v>
      </c>
      <c r="L342" s="309">
        <v>71430</v>
      </c>
      <c r="M342" s="368">
        <f t="shared" si="48"/>
        <v>9.9381142370774122E-5</v>
      </c>
      <c r="O342" s="1">
        <v>15100</v>
      </c>
      <c r="P342" s="309">
        <v>54682</v>
      </c>
      <c r="Q342" s="309">
        <v>82570</v>
      </c>
      <c r="R342" s="368">
        <f t="shared" si="49"/>
        <v>1.1597005364167654E-4</v>
      </c>
    </row>
    <row r="343" spans="2:18" x14ac:dyDescent="0.3">
      <c r="B343" s="54" t="s">
        <v>6</v>
      </c>
      <c r="C343" s="54" t="s">
        <v>27</v>
      </c>
      <c r="E343" s="1">
        <v>141829</v>
      </c>
      <c r="F343" s="309">
        <v>29275</v>
      </c>
      <c r="G343" s="309">
        <v>415202</v>
      </c>
      <c r="H343" s="368">
        <f t="shared" si="47"/>
        <v>1.1564142473013768E-3</v>
      </c>
      <c r="J343" s="1">
        <v>153850</v>
      </c>
      <c r="K343" s="309">
        <v>25901</v>
      </c>
      <c r="L343" s="309">
        <v>398480</v>
      </c>
      <c r="M343" s="368">
        <f t="shared" si="48"/>
        <v>1.1577378714283226E-3</v>
      </c>
      <c r="O343" s="1">
        <v>163800</v>
      </c>
      <c r="P343" s="309">
        <v>26162</v>
      </c>
      <c r="Q343" s="309">
        <v>428530</v>
      </c>
      <c r="R343" s="368">
        <f t="shared" si="49"/>
        <v>1.2858177106016412E-3</v>
      </c>
    </row>
    <row r="344" spans="2:18" x14ac:dyDescent="0.3">
      <c r="B344" s="54" t="s">
        <v>6</v>
      </c>
      <c r="C344" s="54" t="s">
        <v>1469</v>
      </c>
      <c r="E344" s="1">
        <v>486097</v>
      </c>
      <c r="F344" s="309">
        <v>952488</v>
      </c>
      <c r="G344" s="309">
        <v>46300141</v>
      </c>
      <c r="H344" s="368">
        <f t="shared" si="47"/>
        <v>0.14745765527461974</v>
      </c>
      <c r="J344" s="1">
        <v>485850</v>
      </c>
      <c r="K344" s="309">
        <v>821530</v>
      </c>
      <c r="L344" s="309">
        <v>39914030</v>
      </c>
      <c r="M344" s="368">
        <f t="shared" si="48"/>
        <v>0.14582504975590141</v>
      </c>
      <c r="O344" s="1">
        <v>446600</v>
      </c>
      <c r="P344" s="309">
        <v>851419</v>
      </c>
      <c r="Q344" s="309">
        <v>38024390</v>
      </c>
      <c r="R344" s="368">
        <f t="shared" si="49"/>
        <v>0.13653380897053544</v>
      </c>
    </row>
    <row r="345" spans="2:18" x14ac:dyDescent="0.3">
      <c r="B345" s="54" t="s">
        <v>6</v>
      </c>
      <c r="C345" s="54" t="s">
        <v>1470</v>
      </c>
      <c r="E345" s="1">
        <v>37775</v>
      </c>
      <c r="F345" s="309">
        <v>757223</v>
      </c>
      <c r="G345" s="309">
        <v>2860410</v>
      </c>
      <c r="H345" s="368">
        <f t="shared" si="47"/>
        <v>1.5808817071832574E-3</v>
      </c>
      <c r="J345" s="1"/>
      <c r="K345" s="309"/>
      <c r="L345" s="309"/>
      <c r="M345" s="368">
        <f t="shared" si="48"/>
        <v>0</v>
      </c>
      <c r="O345" s="1"/>
      <c r="P345" s="309"/>
      <c r="Q345" s="309"/>
      <c r="R345" s="368">
        <f t="shared" si="49"/>
        <v>0</v>
      </c>
    </row>
    <row r="346" spans="2:18" x14ac:dyDescent="0.3">
      <c r="B346" s="54" t="s">
        <v>6</v>
      </c>
      <c r="C346" s="54" t="s">
        <v>26</v>
      </c>
      <c r="E346" s="1">
        <v>5332084</v>
      </c>
      <c r="F346" s="309">
        <v>72538</v>
      </c>
      <c r="G346" s="309">
        <v>38677896</v>
      </c>
      <c r="H346" s="368">
        <f t="shared" si="47"/>
        <v>5.0102990174131848E-2</v>
      </c>
      <c r="J346" s="1">
        <v>5234090</v>
      </c>
      <c r="K346" s="309">
        <v>67680</v>
      </c>
      <c r="L346" s="309">
        <v>35424140</v>
      </c>
      <c r="M346" s="368">
        <f t="shared" si="48"/>
        <v>4.8318746160117977E-2</v>
      </c>
      <c r="O346" s="1">
        <v>5244250</v>
      </c>
      <c r="P346" s="309">
        <v>77428</v>
      </c>
      <c r="Q346" s="309">
        <v>40604960</v>
      </c>
      <c r="R346" s="368">
        <f t="shared" si="49"/>
        <v>5.3048044410233475E-2</v>
      </c>
    </row>
    <row r="347" spans="2:18" x14ac:dyDescent="0.3">
      <c r="B347" s="54" t="s">
        <v>1527</v>
      </c>
      <c r="C347" s="54" t="s">
        <v>28</v>
      </c>
      <c r="E347" s="1">
        <v>215</v>
      </c>
      <c r="F347" s="309">
        <v>184419</v>
      </c>
      <c r="G347" s="309">
        <v>3965</v>
      </c>
      <c r="H347" s="368">
        <f t="shared" si="47"/>
        <v>1.4021889467323166E-5</v>
      </c>
      <c r="J347" s="1">
        <v>214</v>
      </c>
      <c r="K347" s="309">
        <v>184626</v>
      </c>
      <c r="L347" s="309">
        <v>3951</v>
      </c>
      <c r="M347" s="368">
        <f t="shared" si="48"/>
        <v>1.3591329632966848E-5</v>
      </c>
      <c r="O347" s="1">
        <v>213</v>
      </c>
      <c r="P347" s="309">
        <v>184836</v>
      </c>
      <c r="Q347" s="309">
        <v>3937</v>
      </c>
      <c r="R347" s="368">
        <f t="shared" si="49"/>
        <v>1.3154975917756627E-5</v>
      </c>
    </row>
    <row r="348" spans="2:18" x14ac:dyDescent="0.3">
      <c r="B348" s="54" t="s">
        <v>1527</v>
      </c>
      <c r="C348" s="54" t="s">
        <v>25</v>
      </c>
      <c r="E348" s="1">
        <v>61</v>
      </c>
      <c r="F348" s="309">
        <v>96393</v>
      </c>
      <c r="G348" s="309">
        <v>588</v>
      </c>
      <c r="H348" s="368">
        <f t="shared" si="47"/>
        <v>1.5912817806406321E-6</v>
      </c>
      <c r="J348" s="1">
        <v>60</v>
      </c>
      <c r="K348" s="309">
        <v>97333</v>
      </c>
      <c r="L348" s="309">
        <v>584</v>
      </c>
      <c r="M348" s="368">
        <f t="shared" si="48"/>
        <v>1.6013947841453097E-6</v>
      </c>
      <c r="O348" s="1">
        <v>60</v>
      </c>
      <c r="P348" s="309">
        <v>96667</v>
      </c>
      <c r="Q348" s="309">
        <v>580</v>
      </c>
      <c r="R348" s="368">
        <f t="shared" si="49"/>
        <v>1.568344139526406E-6</v>
      </c>
    </row>
    <row r="349" spans="2:18" x14ac:dyDescent="0.3">
      <c r="B349" s="54" t="s">
        <v>1527</v>
      </c>
      <c r="C349" s="54" t="s">
        <v>1470</v>
      </c>
      <c r="E349" s="1">
        <v>40</v>
      </c>
      <c r="F349" s="309">
        <v>872250</v>
      </c>
      <c r="G349" s="309">
        <v>3489</v>
      </c>
      <c r="H349" s="368">
        <f t="shared" si="47"/>
        <v>1.9282886985999857E-6</v>
      </c>
      <c r="J349" s="1">
        <v>40</v>
      </c>
      <c r="K349" s="309">
        <v>878500</v>
      </c>
      <c r="L349" s="309">
        <v>3514</v>
      </c>
      <c r="M349" s="368">
        <f t="shared" si="48"/>
        <v>1.8452501949560129E-6</v>
      </c>
      <c r="O349" s="1">
        <v>40</v>
      </c>
      <c r="P349" s="309">
        <v>884500</v>
      </c>
      <c r="Q349" s="309">
        <v>3538</v>
      </c>
      <c r="R349" s="368">
        <f t="shared" si="49"/>
        <v>1.8374600020714791E-6</v>
      </c>
    </row>
    <row r="350" spans="2:18" x14ac:dyDescent="0.3">
      <c r="B350" s="54" t="s">
        <v>1528</v>
      </c>
      <c r="C350" s="54" t="s">
        <v>28</v>
      </c>
      <c r="E350" s="1">
        <v>61744</v>
      </c>
      <c r="F350" s="309">
        <v>52305</v>
      </c>
      <c r="G350" s="309">
        <v>322953</v>
      </c>
      <c r="H350" s="368">
        <f t="shared" si="47"/>
        <v>1.1420961586734977E-3</v>
      </c>
      <c r="J350" s="1">
        <v>62981</v>
      </c>
      <c r="K350" s="309">
        <v>52410</v>
      </c>
      <c r="L350" s="309">
        <v>330081</v>
      </c>
      <c r="M350" s="368">
        <f t="shared" si="48"/>
        <v>1.1354694195341256E-3</v>
      </c>
      <c r="O350" s="1">
        <v>64212</v>
      </c>
      <c r="P350" s="309">
        <v>52515</v>
      </c>
      <c r="Q350" s="309">
        <v>337209</v>
      </c>
      <c r="R350" s="368">
        <f t="shared" si="49"/>
        <v>1.1267402271401561E-3</v>
      </c>
    </row>
    <row r="351" spans="2:18" x14ac:dyDescent="0.3">
      <c r="B351" s="54" t="s">
        <v>1528</v>
      </c>
      <c r="C351" s="54" t="s">
        <v>24</v>
      </c>
      <c r="E351" s="1">
        <v>29137</v>
      </c>
      <c r="F351" s="309">
        <v>15660</v>
      </c>
      <c r="G351" s="309">
        <v>45628</v>
      </c>
      <c r="H351" s="368">
        <f t="shared" si="47"/>
        <v>4.0254868155491863E-5</v>
      </c>
      <c r="J351" s="1">
        <v>29678</v>
      </c>
      <c r="K351" s="309">
        <v>15653</v>
      </c>
      <c r="L351" s="309">
        <v>46454</v>
      </c>
      <c r="M351" s="368">
        <f t="shared" si="48"/>
        <v>4.1449758769167413E-5</v>
      </c>
      <c r="O351" s="1">
        <v>30219</v>
      </c>
      <c r="P351" s="309">
        <v>15645</v>
      </c>
      <c r="Q351" s="309">
        <v>47279</v>
      </c>
      <c r="R351" s="368">
        <f t="shared" si="49"/>
        <v>4.1268007111252991E-5</v>
      </c>
    </row>
    <row r="352" spans="2:18" x14ac:dyDescent="0.3">
      <c r="B352" s="54" t="s">
        <v>1528</v>
      </c>
      <c r="C352" s="54" t="s">
        <v>1472</v>
      </c>
      <c r="E352" s="1">
        <v>5469</v>
      </c>
      <c r="F352" s="309">
        <v>38398</v>
      </c>
      <c r="G352" s="309">
        <v>21000</v>
      </c>
      <c r="H352" s="368">
        <f t="shared" si="47"/>
        <v>5.2461286062796746E-5</v>
      </c>
      <c r="J352" s="1">
        <v>5840</v>
      </c>
      <c r="K352" s="309">
        <v>35959</v>
      </c>
      <c r="L352" s="309">
        <v>21000</v>
      </c>
      <c r="M352" s="368">
        <f t="shared" si="48"/>
        <v>5.2033864511210579E-5</v>
      </c>
      <c r="O352" s="1">
        <v>6054</v>
      </c>
      <c r="P352" s="309">
        <v>33517</v>
      </c>
      <c r="Q352" s="309">
        <v>20291</v>
      </c>
      <c r="R352" s="368">
        <f t="shared" si="49"/>
        <v>4.9406290323857783E-5</v>
      </c>
    </row>
    <row r="353" spans="2:18" x14ac:dyDescent="0.3">
      <c r="B353" s="54" t="s">
        <v>1528</v>
      </c>
      <c r="C353" s="54" t="s">
        <v>1468</v>
      </c>
      <c r="E353" s="1">
        <v>594</v>
      </c>
      <c r="F353" s="309">
        <v>29512</v>
      </c>
      <c r="G353" s="309">
        <v>1753</v>
      </c>
      <c r="H353" s="368">
        <f t="shared" si="47"/>
        <v>2.4727482757122848E-6</v>
      </c>
      <c r="J353" s="1">
        <v>598</v>
      </c>
      <c r="K353" s="309">
        <v>30017</v>
      </c>
      <c r="L353" s="309">
        <v>1795</v>
      </c>
      <c r="M353" s="368">
        <f t="shared" si="48"/>
        <v>2.4973981598143572E-6</v>
      </c>
      <c r="O353" s="1">
        <v>601</v>
      </c>
      <c r="P353" s="309">
        <v>30549</v>
      </c>
      <c r="Q353" s="309">
        <v>1836</v>
      </c>
      <c r="R353" s="368">
        <f t="shared" si="49"/>
        <v>2.5786728652793766E-6</v>
      </c>
    </row>
    <row r="354" spans="2:18" x14ac:dyDescent="0.3">
      <c r="B354" s="54" t="s">
        <v>1528</v>
      </c>
      <c r="C354" s="54" t="s">
        <v>27</v>
      </c>
      <c r="E354" s="1">
        <v>4564</v>
      </c>
      <c r="F354" s="309">
        <v>8812</v>
      </c>
      <c r="G354" s="309">
        <v>4022</v>
      </c>
      <c r="H354" s="368">
        <f t="shared" si="47"/>
        <v>1.1202012761610342E-5</v>
      </c>
      <c r="J354" s="1">
        <v>4641</v>
      </c>
      <c r="K354" s="309">
        <v>8796</v>
      </c>
      <c r="L354" s="309">
        <v>4082</v>
      </c>
      <c r="M354" s="368">
        <f t="shared" si="48"/>
        <v>1.1859782150096398E-5</v>
      </c>
      <c r="O354" s="1">
        <v>4717</v>
      </c>
      <c r="P354" s="309">
        <v>8783</v>
      </c>
      <c r="Q354" s="309">
        <v>4143</v>
      </c>
      <c r="R354" s="368">
        <f t="shared" si="49"/>
        <v>1.2431201491196883E-5</v>
      </c>
    </row>
    <row r="355" spans="2:18" x14ac:dyDescent="0.3">
      <c r="B355" s="54" t="s">
        <v>1528</v>
      </c>
      <c r="C355" s="54" t="s">
        <v>1470</v>
      </c>
      <c r="E355" s="1">
        <v>4687</v>
      </c>
      <c r="F355" s="309">
        <v>619368</v>
      </c>
      <c r="G355" s="309">
        <v>290298</v>
      </c>
      <c r="H355" s="368">
        <f t="shared" si="47"/>
        <v>1.6044091505479469E-4</v>
      </c>
      <c r="J355" s="1">
        <v>4747</v>
      </c>
      <c r="K355" s="309">
        <v>621940</v>
      </c>
      <c r="L355" s="309">
        <v>295235</v>
      </c>
      <c r="M355" s="368">
        <f t="shared" si="48"/>
        <v>1.5503199809557158E-4</v>
      </c>
      <c r="O355" s="1">
        <v>4807</v>
      </c>
      <c r="P355" s="309">
        <v>624448</v>
      </c>
      <c r="Q355" s="309">
        <v>300172</v>
      </c>
      <c r="R355" s="368">
        <f t="shared" si="49"/>
        <v>1.5589430292306389E-4</v>
      </c>
    </row>
    <row r="356" spans="2:18" x14ac:dyDescent="0.3">
      <c r="B356" s="54" t="s">
        <v>1529</v>
      </c>
      <c r="C356" s="54" t="s">
        <v>28</v>
      </c>
      <c r="E356" s="1">
        <v>2960</v>
      </c>
      <c r="F356" s="309">
        <v>41824</v>
      </c>
      <c r="G356" s="309">
        <v>12380</v>
      </c>
      <c r="H356" s="368">
        <f t="shared" si="47"/>
        <v>4.3780830165311674E-5</v>
      </c>
      <c r="J356" s="1">
        <v>2987</v>
      </c>
      <c r="K356" s="309">
        <v>42775</v>
      </c>
      <c r="L356" s="309">
        <v>12777</v>
      </c>
      <c r="M356" s="368">
        <f t="shared" si="48"/>
        <v>4.395252308793152E-5</v>
      </c>
      <c r="O356" s="1">
        <v>3014</v>
      </c>
      <c r="P356" s="309">
        <v>43709</v>
      </c>
      <c r="Q356" s="309">
        <v>13174</v>
      </c>
      <c r="R356" s="368">
        <f t="shared" si="49"/>
        <v>4.4019215834525226E-5</v>
      </c>
    </row>
    <row r="357" spans="2:18" x14ac:dyDescent="0.3">
      <c r="B357" s="54" t="s">
        <v>1529</v>
      </c>
      <c r="C357" s="54" t="s">
        <v>24</v>
      </c>
      <c r="E357" s="1">
        <v>29413</v>
      </c>
      <c r="F357" s="309">
        <v>7140</v>
      </c>
      <c r="G357" s="309">
        <v>21000</v>
      </c>
      <c r="H357" s="368">
        <f t="shared" si="47"/>
        <v>1.8527049865550302E-5</v>
      </c>
      <c r="J357" s="1">
        <v>35000</v>
      </c>
      <c r="K357" s="309">
        <v>5143</v>
      </c>
      <c r="L357" s="309">
        <v>18000</v>
      </c>
      <c r="M357" s="368">
        <f t="shared" si="48"/>
        <v>1.6060956168360386E-5</v>
      </c>
      <c r="O357" s="1">
        <v>35000</v>
      </c>
      <c r="P357" s="309">
        <v>4857</v>
      </c>
      <c r="Q357" s="309">
        <v>17000</v>
      </c>
      <c r="R357" s="368">
        <f t="shared" si="49"/>
        <v>1.4838641276069731E-5</v>
      </c>
    </row>
    <row r="358" spans="2:18" x14ac:dyDescent="0.3">
      <c r="B358" s="54" t="s">
        <v>1529</v>
      </c>
      <c r="C358" s="54" t="s">
        <v>1472</v>
      </c>
      <c r="E358" s="1">
        <v>3509</v>
      </c>
      <c r="F358" s="309">
        <v>99915</v>
      </c>
      <c r="G358" s="309">
        <v>35060</v>
      </c>
      <c r="H358" s="368">
        <f t="shared" si="47"/>
        <v>8.7585366160078748E-5</v>
      </c>
      <c r="J358" s="1">
        <v>3510</v>
      </c>
      <c r="K358" s="309">
        <v>99892</v>
      </c>
      <c r="L358" s="309">
        <v>35062</v>
      </c>
      <c r="M358" s="368">
        <f t="shared" si="48"/>
        <v>8.6876731309145971E-5</v>
      </c>
      <c r="O358" s="1">
        <v>3510</v>
      </c>
      <c r="P358" s="309">
        <v>99895</v>
      </c>
      <c r="Q358" s="309">
        <v>35063</v>
      </c>
      <c r="R358" s="368">
        <f t="shared" si="49"/>
        <v>8.5374439782436812E-5</v>
      </c>
    </row>
    <row r="359" spans="2:18" x14ac:dyDescent="0.3">
      <c r="B359" s="54" t="s">
        <v>1529</v>
      </c>
      <c r="C359" s="54" t="s">
        <v>1468</v>
      </c>
      <c r="E359" s="1">
        <v>65854</v>
      </c>
      <c r="F359" s="309">
        <v>4556</v>
      </c>
      <c r="G359" s="309">
        <v>30000</v>
      </c>
      <c r="H359" s="368">
        <f t="shared" si="47"/>
        <v>4.2317426281442411E-5</v>
      </c>
      <c r="J359" s="1">
        <v>38610</v>
      </c>
      <c r="K359" s="309">
        <v>6734</v>
      </c>
      <c r="L359" s="309">
        <v>26000</v>
      </c>
      <c r="M359" s="368">
        <f t="shared" si="48"/>
        <v>3.6174012342714927E-5</v>
      </c>
      <c r="O359" s="1">
        <v>65000</v>
      </c>
      <c r="P359" s="309">
        <v>3385</v>
      </c>
      <c r="Q359" s="309">
        <v>22000</v>
      </c>
      <c r="R359" s="368">
        <f t="shared" si="49"/>
        <v>3.0899130193979462E-5</v>
      </c>
    </row>
    <row r="360" spans="2:18" x14ac:dyDescent="0.3">
      <c r="B360" s="54" t="s">
        <v>1530</v>
      </c>
      <c r="C360" s="54" t="s">
        <v>24</v>
      </c>
      <c r="E360" s="1">
        <v>78600</v>
      </c>
      <c r="F360" s="309">
        <v>18130</v>
      </c>
      <c r="G360" s="309">
        <v>142500</v>
      </c>
      <c r="H360" s="368">
        <f t="shared" si="47"/>
        <v>1.2571926694480561E-4</v>
      </c>
      <c r="J360" s="1">
        <v>71400</v>
      </c>
      <c r="K360" s="309">
        <v>27199</v>
      </c>
      <c r="L360" s="309">
        <v>194200</v>
      </c>
      <c r="M360" s="368">
        <f t="shared" si="48"/>
        <v>1.7327987154975484E-4</v>
      </c>
      <c r="O360" s="1">
        <v>73000</v>
      </c>
      <c r="P360" s="309">
        <v>28370</v>
      </c>
      <c r="Q360" s="309">
        <v>207100</v>
      </c>
      <c r="R360" s="368">
        <f t="shared" si="49"/>
        <v>1.8076956519259065E-4</v>
      </c>
    </row>
    <row r="361" spans="2:18" x14ac:dyDescent="0.3">
      <c r="B361" s="54" t="s">
        <v>1530</v>
      </c>
      <c r="C361" s="54" t="s">
        <v>25</v>
      </c>
      <c r="E361" s="1">
        <v>19700</v>
      </c>
      <c r="F361" s="309">
        <v>91421</v>
      </c>
      <c r="G361" s="309">
        <v>180100</v>
      </c>
      <c r="H361" s="368">
        <f t="shared" si="47"/>
        <v>4.8739770185948609E-4</v>
      </c>
      <c r="J361" s="1">
        <v>18800</v>
      </c>
      <c r="K361" s="309">
        <v>126330</v>
      </c>
      <c r="L361" s="309">
        <v>237500</v>
      </c>
      <c r="M361" s="368">
        <f t="shared" si="48"/>
        <v>6.5125215964813537E-4</v>
      </c>
      <c r="O361" s="1">
        <v>16300</v>
      </c>
      <c r="P361" s="309">
        <v>119448</v>
      </c>
      <c r="Q361" s="309">
        <v>194700</v>
      </c>
      <c r="R361" s="368">
        <f t="shared" si="49"/>
        <v>5.2647690338929523E-4</v>
      </c>
    </row>
    <row r="362" spans="2:18" x14ac:dyDescent="0.3">
      <c r="B362" s="54" t="s">
        <v>1530</v>
      </c>
      <c r="C362" s="54" t="s">
        <v>27</v>
      </c>
      <c r="E362" s="1">
        <v>647</v>
      </c>
      <c r="F362" s="309">
        <v>32179</v>
      </c>
      <c r="G362" s="309">
        <v>2082</v>
      </c>
      <c r="H362" s="368">
        <f t="shared" si="47"/>
        <v>5.7987544927082881E-6</v>
      </c>
      <c r="J362" s="1">
        <v>606</v>
      </c>
      <c r="K362" s="309">
        <v>33003</v>
      </c>
      <c r="L362" s="309">
        <v>2000</v>
      </c>
      <c r="M362" s="368">
        <f t="shared" si="48"/>
        <v>5.8107702842216547E-6</v>
      </c>
      <c r="O362" s="1">
        <v>592</v>
      </c>
      <c r="P362" s="309">
        <v>33784</v>
      </c>
      <c r="Q362" s="309">
        <v>2000</v>
      </c>
      <c r="R362" s="368">
        <f t="shared" si="49"/>
        <v>6.001062752207039E-6</v>
      </c>
    </row>
    <row r="363" spans="2:18" x14ac:dyDescent="0.3">
      <c r="B363" s="54" t="s">
        <v>1530</v>
      </c>
      <c r="C363" s="54" t="s">
        <v>1469</v>
      </c>
      <c r="E363" s="1">
        <v>0</v>
      </c>
      <c r="F363" s="309"/>
      <c r="G363" s="309">
        <v>0</v>
      </c>
      <c r="H363" s="368">
        <f t="shared" si="47"/>
        <v>0</v>
      </c>
      <c r="J363" s="1">
        <v>0</v>
      </c>
      <c r="K363" s="309"/>
      <c r="L363" s="309">
        <v>0</v>
      </c>
      <c r="M363" s="368">
        <f t="shared" si="48"/>
        <v>0</v>
      </c>
      <c r="O363" s="1">
        <v>0</v>
      </c>
      <c r="P363" s="309"/>
      <c r="Q363" s="309">
        <v>0</v>
      </c>
      <c r="R363" s="368">
        <f t="shared" si="49"/>
        <v>0</v>
      </c>
    </row>
    <row r="364" spans="2:18" x14ac:dyDescent="0.3">
      <c r="B364" s="54" t="s">
        <v>1530</v>
      </c>
      <c r="C364" s="54" t="s">
        <v>26</v>
      </c>
      <c r="E364" s="1">
        <v>44200</v>
      </c>
      <c r="F364" s="309">
        <v>22149</v>
      </c>
      <c r="G364" s="309">
        <v>97900</v>
      </c>
      <c r="H364" s="368">
        <f t="shared" si="47"/>
        <v>1.2681875813636573E-4</v>
      </c>
      <c r="J364" s="1">
        <v>43300</v>
      </c>
      <c r="K364" s="309">
        <v>24734</v>
      </c>
      <c r="L364" s="309">
        <v>107100</v>
      </c>
      <c r="M364" s="368">
        <f t="shared" si="48"/>
        <v>1.4608506272131478E-4</v>
      </c>
      <c r="O364" s="1">
        <v>43100</v>
      </c>
      <c r="P364" s="309">
        <v>23341</v>
      </c>
      <c r="Q364" s="309">
        <v>100600</v>
      </c>
      <c r="R364" s="368">
        <f t="shared" si="49"/>
        <v>1.3142811291205528E-4</v>
      </c>
    </row>
    <row r="365" spans="2:18" x14ac:dyDescent="0.3">
      <c r="B365" s="54" t="s">
        <v>7</v>
      </c>
      <c r="C365" s="54" t="s">
        <v>24</v>
      </c>
      <c r="E365" s="1">
        <v>432000</v>
      </c>
      <c r="F365" s="309">
        <v>105269</v>
      </c>
      <c r="G365" s="309">
        <v>4547600</v>
      </c>
      <c r="H365" s="368">
        <f t="shared" si="47"/>
        <v>4.0120767604084071E-3</v>
      </c>
      <c r="J365" s="1">
        <v>410900</v>
      </c>
      <c r="K365" s="309">
        <v>81390</v>
      </c>
      <c r="L365" s="309">
        <v>3344300</v>
      </c>
      <c r="M365" s="368">
        <f t="shared" si="48"/>
        <v>2.9840364285470913E-3</v>
      </c>
      <c r="O365" s="1">
        <v>416000</v>
      </c>
      <c r="P365" s="309">
        <v>88096</v>
      </c>
      <c r="Q365" s="309">
        <v>3664800</v>
      </c>
      <c r="R365" s="368">
        <f t="shared" si="49"/>
        <v>3.1988619146200207E-3</v>
      </c>
    </row>
    <row r="366" spans="2:18" x14ac:dyDescent="0.3">
      <c r="B366" s="54" t="s">
        <v>7</v>
      </c>
      <c r="C366" s="54" t="s">
        <v>25</v>
      </c>
      <c r="E366" s="1">
        <v>250500</v>
      </c>
      <c r="F366" s="309">
        <v>467864</v>
      </c>
      <c r="G366" s="309">
        <v>11720000</v>
      </c>
      <c r="H366" s="368">
        <f t="shared" si="47"/>
        <v>3.1717385151544569E-2</v>
      </c>
      <c r="J366" s="1">
        <v>252200</v>
      </c>
      <c r="K366" s="309">
        <v>353719</v>
      </c>
      <c r="L366" s="309">
        <v>8920800</v>
      </c>
      <c r="M366" s="368">
        <f t="shared" si="48"/>
        <v>2.446185375069089E-2</v>
      </c>
      <c r="O366" s="1">
        <v>271600</v>
      </c>
      <c r="P366" s="309">
        <v>390361</v>
      </c>
      <c r="Q366" s="309">
        <v>10602200</v>
      </c>
      <c r="R366" s="368">
        <f t="shared" si="49"/>
        <v>2.8668790062218726E-2</v>
      </c>
    </row>
    <row r="367" spans="2:18" x14ac:dyDescent="0.3">
      <c r="B367" s="54" t="s">
        <v>7</v>
      </c>
      <c r="C367" s="54" t="s">
        <v>1468</v>
      </c>
      <c r="E367" s="1"/>
      <c r="F367" s="309"/>
      <c r="G367" s="309"/>
      <c r="H367" s="368">
        <f t="shared" si="47"/>
        <v>0</v>
      </c>
      <c r="J367" s="1">
        <v>0</v>
      </c>
      <c r="K367" s="309"/>
      <c r="L367" s="309">
        <v>0</v>
      </c>
      <c r="M367" s="368">
        <f t="shared" si="48"/>
        <v>0</v>
      </c>
      <c r="O367" s="1">
        <v>0</v>
      </c>
      <c r="P367" s="309"/>
      <c r="Q367" s="309">
        <v>0</v>
      </c>
      <c r="R367" s="368">
        <f t="shared" si="49"/>
        <v>0</v>
      </c>
    </row>
    <row r="368" spans="2:18" x14ac:dyDescent="0.3">
      <c r="B368" s="54" t="s">
        <v>7</v>
      </c>
      <c r="C368" s="54" t="s">
        <v>27</v>
      </c>
      <c r="E368" s="1">
        <v>19000</v>
      </c>
      <c r="F368" s="309">
        <v>34737</v>
      </c>
      <c r="G368" s="309">
        <v>66000</v>
      </c>
      <c r="H368" s="368">
        <f t="shared" si="47"/>
        <v>1.8382218852965753E-4</v>
      </c>
      <c r="J368" s="1">
        <v>24100</v>
      </c>
      <c r="K368" s="309">
        <v>24357</v>
      </c>
      <c r="L368" s="309">
        <v>58700</v>
      </c>
      <c r="M368" s="368">
        <f t="shared" si="48"/>
        <v>1.7054610784190556E-4</v>
      </c>
      <c r="O368" s="1">
        <v>28900</v>
      </c>
      <c r="P368" s="309">
        <v>29100</v>
      </c>
      <c r="Q368" s="309">
        <v>84100</v>
      </c>
      <c r="R368" s="368">
        <f t="shared" si="49"/>
        <v>2.5234468873030602E-4</v>
      </c>
    </row>
    <row r="369" spans="2:18" x14ac:dyDescent="0.3">
      <c r="B369" s="54" t="s">
        <v>7</v>
      </c>
      <c r="C369" s="54" t="s">
        <v>1469</v>
      </c>
      <c r="E369" s="1">
        <v>406700</v>
      </c>
      <c r="F369" s="309">
        <v>837470</v>
      </c>
      <c r="G369" s="309">
        <v>34059900</v>
      </c>
      <c r="H369" s="368">
        <f t="shared" si="47"/>
        <v>0.10847468030147081</v>
      </c>
      <c r="J369" s="1">
        <v>413900</v>
      </c>
      <c r="K369" s="309">
        <v>632795</v>
      </c>
      <c r="L369" s="309">
        <v>26191400</v>
      </c>
      <c r="M369" s="368">
        <f t="shared" si="48"/>
        <v>9.568971632723422E-2</v>
      </c>
      <c r="O369" s="1">
        <v>408700</v>
      </c>
      <c r="P369" s="309">
        <v>727387</v>
      </c>
      <c r="Q369" s="309">
        <v>29728300</v>
      </c>
      <c r="R369" s="368">
        <f t="shared" si="49"/>
        <v>0.10674511894125767</v>
      </c>
    </row>
    <row r="370" spans="2:18" x14ac:dyDescent="0.3">
      <c r="B370" s="54" t="s">
        <v>7</v>
      </c>
      <c r="C370" s="54" t="s">
        <v>26</v>
      </c>
      <c r="E370" s="1">
        <v>3202600</v>
      </c>
      <c r="F370" s="309">
        <v>76443</v>
      </c>
      <c r="G370" s="309">
        <v>24481600</v>
      </c>
      <c r="H370" s="368">
        <f t="shared" si="47"/>
        <v>3.1713239113291637E-2</v>
      </c>
      <c r="J370" s="1">
        <v>3036300</v>
      </c>
      <c r="K370" s="309">
        <v>66737</v>
      </c>
      <c r="L370" s="309">
        <v>20263500</v>
      </c>
      <c r="M370" s="368">
        <f t="shared" si="48"/>
        <v>2.7639539387986575E-2</v>
      </c>
      <c r="O370" s="1">
        <v>3118100</v>
      </c>
      <c r="P370" s="309">
        <v>73964</v>
      </c>
      <c r="Q370" s="309">
        <v>23062600</v>
      </c>
      <c r="R370" s="368">
        <f t="shared" si="49"/>
        <v>3.0129960207212383E-2</v>
      </c>
    </row>
    <row r="371" spans="2:18" x14ac:dyDescent="0.3">
      <c r="B371" s="54" t="s">
        <v>1531</v>
      </c>
      <c r="C371" s="54" t="s">
        <v>28</v>
      </c>
      <c r="E371" s="1">
        <v>982741</v>
      </c>
      <c r="F371" s="309">
        <v>193426</v>
      </c>
      <c r="G371" s="309">
        <v>19008725</v>
      </c>
      <c r="H371" s="368">
        <f t="shared" si="47"/>
        <v>6.72227593605908E-2</v>
      </c>
      <c r="J371" s="1">
        <v>992201</v>
      </c>
      <c r="K371" s="309">
        <v>210098</v>
      </c>
      <c r="L371" s="309">
        <v>20845960</v>
      </c>
      <c r="M371" s="368">
        <f t="shared" si="48"/>
        <v>7.1709520090013065E-2</v>
      </c>
      <c r="O371" s="1">
        <v>1027755</v>
      </c>
      <c r="P371" s="309">
        <v>218414</v>
      </c>
      <c r="Q371" s="309">
        <v>22447635</v>
      </c>
      <c r="R371" s="368">
        <f t="shared" si="49"/>
        <v>7.5005866861973788E-2</v>
      </c>
    </row>
    <row r="372" spans="2:18" x14ac:dyDescent="0.3">
      <c r="B372" s="54" t="s">
        <v>1531</v>
      </c>
      <c r="C372" s="54" t="s">
        <v>24</v>
      </c>
      <c r="E372" s="1">
        <v>1000000</v>
      </c>
      <c r="F372" s="309">
        <v>20112</v>
      </c>
      <c r="G372" s="309">
        <v>2011179</v>
      </c>
      <c r="H372" s="368">
        <f t="shared" si="47"/>
        <v>1.7743435057879806E-3</v>
      </c>
      <c r="J372" s="1">
        <v>1179643</v>
      </c>
      <c r="K372" s="309">
        <v>19552</v>
      </c>
      <c r="L372" s="309">
        <v>2306384</v>
      </c>
      <c r="M372" s="368">
        <f t="shared" si="48"/>
        <v>2.0579295739670943E-3</v>
      </c>
      <c r="O372" s="1">
        <v>1418346</v>
      </c>
      <c r="P372" s="309">
        <v>19459</v>
      </c>
      <c r="Q372" s="309">
        <v>2760000</v>
      </c>
      <c r="R372" s="368">
        <f t="shared" si="49"/>
        <v>2.4090970542324976E-3</v>
      </c>
    </row>
    <row r="373" spans="2:18" x14ac:dyDescent="0.3">
      <c r="B373" s="54" t="s">
        <v>1531</v>
      </c>
      <c r="C373" s="54" t="s">
        <v>1472</v>
      </c>
      <c r="E373" s="1">
        <v>361671</v>
      </c>
      <c r="F373" s="309">
        <v>68462</v>
      </c>
      <c r="G373" s="309">
        <v>2476065</v>
      </c>
      <c r="H373" s="368">
        <f t="shared" si="47"/>
        <v>6.1855978226228008E-3</v>
      </c>
      <c r="J373" s="1">
        <v>381861</v>
      </c>
      <c r="K373" s="309">
        <v>69320</v>
      </c>
      <c r="L373" s="309">
        <v>2647066</v>
      </c>
      <c r="M373" s="368">
        <f t="shared" si="48"/>
        <v>6.558908266487245E-3</v>
      </c>
      <c r="O373" s="1">
        <v>374256</v>
      </c>
      <c r="P373" s="309">
        <v>70953</v>
      </c>
      <c r="Q373" s="309">
        <v>2655440</v>
      </c>
      <c r="R373" s="368">
        <f t="shared" si="49"/>
        <v>6.465696100615293E-3</v>
      </c>
    </row>
    <row r="374" spans="2:18" x14ac:dyDescent="0.3">
      <c r="B374" s="54" t="s">
        <v>1531</v>
      </c>
      <c r="C374" s="54" t="s">
        <v>1468</v>
      </c>
      <c r="E374" s="1">
        <v>256945</v>
      </c>
      <c r="F374" s="309">
        <v>28103</v>
      </c>
      <c r="G374" s="309">
        <v>722080</v>
      </c>
      <c r="H374" s="368">
        <f t="shared" si="47"/>
        <v>1.0185522389767978E-3</v>
      </c>
      <c r="J374" s="1">
        <v>272476</v>
      </c>
      <c r="K374" s="309">
        <v>28237</v>
      </c>
      <c r="L374" s="309">
        <v>769401</v>
      </c>
      <c r="M374" s="368">
        <f t="shared" si="48"/>
        <v>1.0704738950191232E-3</v>
      </c>
      <c r="O374" s="1">
        <v>321215</v>
      </c>
      <c r="P374" s="309">
        <v>28797</v>
      </c>
      <c r="Q374" s="309">
        <v>925000</v>
      </c>
      <c r="R374" s="368">
        <f t="shared" si="49"/>
        <v>1.2991679740650454E-3</v>
      </c>
    </row>
    <row r="375" spans="2:18" x14ac:dyDescent="0.3">
      <c r="B375" s="54" t="s">
        <v>1531</v>
      </c>
      <c r="C375" s="54" t="s">
        <v>27</v>
      </c>
      <c r="E375" s="1">
        <v>101700</v>
      </c>
      <c r="F375" s="309">
        <v>16764</v>
      </c>
      <c r="G375" s="309">
        <v>170490</v>
      </c>
      <c r="H375" s="368">
        <f t="shared" si="47"/>
        <v>4.7484613518820168E-4</v>
      </c>
      <c r="J375" s="1">
        <v>117055</v>
      </c>
      <c r="K375" s="309">
        <v>16773</v>
      </c>
      <c r="L375" s="309">
        <v>196338</v>
      </c>
      <c r="M375" s="368">
        <f t="shared" si="48"/>
        <v>5.7043750803175569E-4</v>
      </c>
      <c r="O375" s="1">
        <v>99270</v>
      </c>
      <c r="P375" s="309">
        <v>16807</v>
      </c>
      <c r="Q375" s="309">
        <v>166846</v>
      </c>
      <c r="R375" s="368">
        <f t="shared" si="49"/>
        <v>5.006266579773678E-4</v>
      </c>
    </row>
    <row r="376" spans="2:18" x14ac:dyDescent="0.3">
      <c r="B376" s="54" t="s">
        <v>1531</v>
      </c>
      <c r="C376" s="54" t="s">
        <v>1470</v>
      </c>
      <c r="E376" s="1">
        <v>6091</v>
      </c>
      <c r="F376" s="309">
        <v>250028</v>
      </c>
      <c r="G376" s="309">
        <v>152292</v>
      </c>
      <c r="H376" s="368">
        <f t="shared" si="47"/>
        <v>8.4168226565545714E-5</v>
      </c>
      <c r="J376" s="1">
        <v>6122</v>
      </c>
      <c r="K376" s="309">
        <v>249887</v>
      </c>
      <c r="L376" s="309">
        <v>152981</v>
      </c>
      <c r="M376" s="368">
        <f t="shared" si="48"/>
        <v>8.0332447374663007E-5</v>
      </c>
      <c r="O376" s="1">
        <v>6154</v>
      </c>
      <c r="P376" s="309">
        <v>249708</v>
      </c>
      <c r="Q376" s="309">
        <v>153670</v>
      </c>
      <c r="R376" s="368">
        <f t="shared" si="49"/>
        <v>7.9808501559729844E-5</v>
      </c>
    </row>
    <row r="377" spans="2:18" x14ac:dyDescent="0.3">
      <c r="B377" s="54" t="s">
        <v>1532</v>
      </c>
      <c r="C377" s="54" t="s">
        <v>24</v>
      </c>
      <c r="E377" s="1">
        <v>126027</v>
      </c>
      <c r="F377" s="309">
        <v>115985</v>
      </c>
      <c r="G377" s="309">
        <v>1461730</v>
      </c>
      <c r="H377" s="368">
        <f t="shared" si="47"/>
        <v>1.2895973619033736E-3</v>
      </c>
      <c r="J377" s="1">
        <v>113450</v>
      </c>
      <c r="K377" s="309">
        <v>106301</v>
      </c>
      <c r="L377" s="309">
        <v>1205980</v>
      </c>
      <c r="M377" s="368">
        <f t="shared" si="48"/>
        <v>1.0760662177732921E-3</v>
      </c>
      <c r="O377" s="1">
        <v>115500</v>
      </c>
      <c r="P377" s="309">
        <v>106807</v>
      </c>
      <c r="Q377" s="309">
        <v>1233620</v>
      </c>
      <c r="R377" s="368">
        <f t="shared" si="49"/>
        <v>1.0767790971167731E-3</v>
      </c>
    </row>
    <row r="378" spans="2:18" x14ac:dyDescent="0.3">
      <c r="B378" s="54" t="s">
        <v>1532</v>
      </c>
      <c r="C378" s="54" t="s">
        <v>25</v>
      </c>
      <c r="E378" s="1">
        <v>19793</v>
      </c>
      <c r="F378" s="309">
        <v>252365</v>
      </c>
      <c r="G378" s="309">
        <v>499506</v>
      </c>
      <c r="H378" s="368">
        <f t="shared" si="47"/>
        <v>1.3517938726542169E-3</v>
      </c>
      <c r="J378" s="1">
        <v>16830</v>
      </c>
      <c r="K378" s="309">
        <v>276750</v>
      </c>
      <c r="L378" s="309">
        <v>465770</v>
      </c>
      <c r="M378" s="368">
        <f t="shared" si="48"/>
        <v>1.2771946037865769E-3</v>
      </c>
      <c r="O378" s="1">
        <v>15950</v>
      </c>
      <c r="P378" s="309">
        <v>294803</v>
      </c>
      <c r="Q378" s="309">
        <v>470210</v>
      </c>
      <c r="R378" s="368">
        <f t="shared" si="49"/>
        <v>1.2714674100805369E-3</v>
      </c>
    </row>
    <row r="379" spans="2:18" x14ac:dyDescent="0.3">
      <c r="B379" s="54" t="s">
        <v>1532</v>
      </c>
      <c r="C379" s="54" t="s">
        <v>1468</v>
      </c>
      <c r="E379" s="1">
        <v>30901</v>
      </c>
      <c r="F379" s="309">
        <v>82657</v>
      </c>
      <c r="G379" s="309">
        <v>255418</v>
      </c>
      <c r="H379" s="368">
        <f t="shared" si="47"/>
        <v>3.6028774619844856E-4</v>
      </c>
      <c r="J379" s="1">
        <v>30350</v>
      </c>
      <c r="K379" s="309">
        <v>73374</v>
      </c>
      <c r="L379" s="309">
        <v>222690</v>
      </c>
      <c r="M379" s="368">
        <f t="shared" si="48"/>
        <v>3.0983041571535334E-4</v>
      </c>
      <c r="O379" s="1">
        <v>29860</v>
      </c>
      <c r="P379" s="309">
        <v>73989</v>
      </c>
      <c r="Q379" s="309">
        <v>220930</v>
      </c>
      <c r="R379" s="368">
        <f t="shared" si="49"/>
        <v>3.1029749244344915E-4</v>
      </c>
    </row>
    <row r="380" spans="2:18" x14ac:dyDescent="0.3">
      <c r="B380" s="54" t="s">
        <v>1532</v>
      </c>
      <c r="C380" s="54" t="s">
        <v>27</v>
      </c>
      <c r="E380" s="1">
        <v>2796</v>
      </c>
      <c r="F380" s="309">
        <v>28966</v>
      </c>
      <c r="G380" s="309">
        <v>8099</v>
      </c>
      <c r="H380" s="368">
        <f t="shared" si="47"/>
        <v>2.2557210680328734E-5</v>
      </c>
      <c r="J380" s="1">
        <v>610</v>
      </c>
      <c r="K380" s="309">
        <v>41311</v>
      </c>
      <c r="L380" s="309">
        <v>2520</v>
      </c>
      <c r="M380" s="368">
        <f t="shared" si="48"/>
        <v>7.3215705581192847E-6</v>
      </c>
      <c r="O380" s="1">
        <v>1030</v>
      </c>
      <c r="P380" s="309">
        <v>36117</v>
      </c>
      <c r="Q380" s="309">
        <v>3720</v>
      </c>
      <c r="R380" s="368">
        <f t="shared" si="49"/>
        <v>1.1161976719105094E-5</v>
      </c>
    </row>
    <row r="381" spans="2:18" x14ac:dyDescent="0.3">
      <c r="B381" s="54" t="s">
        <v>1532</v>
      </c>
      <c r="C381" s="54" t="s">
        <v>1469</v>
      </c>
      <c r="E381" s="1">
        <v>6207</v>
      </c>
      <c r="F381" s="309">
        <v>631969</v>
      </c>
      <c r="G381" s="309">
        <v>392263</v>
      </c>
      <c r="H381" s="368">
        <f t="shared" si="47"/>
        <v>1.2492873883686048E-3</v>
      </c>
      <c r="J381" s="1">
        <v>1430</v>
      </c>
      <c r="K381" s="309">
        <v>449441</v>
      </c>
      <c r="L381" s="309">
        <v>64270</v>
      </c>
      <c r="M381" s="368">
        <f t="shared" si="48"/>
        <v>2.3480906207195274E-4</v>
      </c>
      <c r="O381" s="1">
        <v>1610</v>
      </c>
      <c r="P381" s="309">
        <v>492981</v>
      </c>
      <c r="Q381" s="309">
        <v>79370</v>
      </c>
      <c r="R381" s="368">
        <f t="shared" si="49"/>
        <v>2.8499309043462364E-4</v>
      </c>
    </row>
    <row r="382" spans="2:18" x14ac:dyDescent="0.3">
      <c r="B382" s="54" t="s">
        <v>1532</v>
      </c>
      <c r="C382" s="54" t="s">
        <v>26</v>
      </c>
      <c r="E382" s="1">
        <v>463311</v>
      </c>
      <c r="F382" s="309">
        <v>29284</v>
      </c>
      <c r="G382" s="309">
        <v>1356772</v>
      </c>
      <c r="H382" s="368">
        <f t="shared" si="47"/>
        <v>1.7575499500939041E-3</v>
      </c>
      <c r="J382" s="1">
        <v>404490</v>
      </c>
      <c r="K382" s="309">
        <v>26526</v>
      </c>
      <c r="L382" s="309">
        <v>1072940</v>
      </c>
      <c r="M382" s="368">
        <f t="shared" si="48"/>
        <v>1.4634967992176236E-3</v>
      </c>
      <c r="O382" s="1">
        <v>350490</v>
      </c>
      <c r="P382" s="309">
        <v>27939</v>
      </c>
      <c r="Q382" s="309">
        <v>979220</v>
      </c>
      <c r="R382" s="368">
        <f t="shared" si="49"/>
        <v>1.2792945996594708E-3</v>
      </c>
    </row>
    <row r="383" spans="2:18" x14ac:dyDescent="0.3">
      <c r="B383" s="54" t="s">
        <v>1533</v>
      </c>
      <c r="C383" s="54" t="s">
        <v>28</v>
      </c>
      <c r="E383" s="1">
        <v>27</v>
      </c>
      <c r="F383" s="309">
        <v>85556</v>
      </c>
      <c r="G383" s="309">
        <v>231</v>
      </c>
      <c r="H383" s="368">
        <f t="shared" si="47"/>
        <v>8.1691209759184141E-7</v>
      </c>
      <c r="J383" s="1">
        <v>27</v>
      </c>
      <c r="K383" s="309">
        <v>86296</v>
      </c>
      <c r="L383" s="309">
        <v>233</v>
      </c>
      <c r="M383" s="368">
        <f t="shared" si="48"/>
        <v>8.0151349138984447E-7</v>
      </c>
      <c r="O383" s="1">
        <v>27</v>
      </c>
      <c r="P383" s="309">
        <v>87037</v>
      </c>
      <c r="Q383" s="309">
        <v>235</v>
      </c>
      <c r="R383" s="368">
        <f t="shared" si="49"/>
        <v>7.8522208297505909E-7</v>
      </c>
    </row>
    <row r="384" spans="2:18" x14ac:dyDescent="0.3">
      <c r="B384" s="54" t="s">
        <v>1533</v>
      </c>
      <c r="C384" s="54" t="s">
        <v>24</v>
      </c>
      <c r="E384" s="1">
        <v>356</v>
      </c>
      <c r="F384" s="309">
        <v>10000</v>
      </c>
      <c r="G384" s="309">
        <v>356</v>
      </c>
      <c r="H384" s="368">
        <f t="shared" si="47"/>
        <v>3.1407760724456702E-7</v>
      </c>
      <c r="J384" s="1">
        <v>357</v>
      </c>
      <c r="K384" s="309">
        <v>10000</v>
      </c>
      <c r="L384" s="309">
        <v>357</v>
      </c>
      <c r="M384" s="368">
        <f t="shared" si="48"/>
        <v>3.1854229733914766E-7</v>
      </c>
      <c r="O384" s="1">
        <v>358</v>
      </c>
      <c r="P384" s="309">
        <v>10000</v>
      </c>
      <c r="Q384" s="309">
        <v>358</v>
      </c>
      <c r="R384" s="368">
        <f t="shared" si="49"/>
        <v>3.1248432804899787E-7</v>
      </c>
    </row>
    <row r="385" spans="2:18" x14ac:dyDescent="0.3">
      <c r="B385" s="54" t="s">
        <v>1533</v>
      </c>
      <c r="C385" s="54" t="s">
        <v>1470</v>
      </c>
      <c r="E385" s="1">
        <v>163</v>
      </c>
      <c r="F385" s="309">
        <v>450307</v>
      </c>
      <c r="G385" s="309">
        <v>7340</v>
      </c>
      <c r="H385" s="368">
        <f t="shared" si="47"/>
        <v>4.0566463306746613E-6</v>
      </c>
      <c r="J385" s="1">
        <v>164</v>
      </c>
      <c r="K385" s="309">
        <v>448902</v>
      </c>
      <c r="L385" s="309">
        <v>7362</v>
      </c>
      <c r="M385" s="368">
        <f t="shared" si="48"/>
        <v>3.8658884277934456E-6</v>
      </c>
      <c r="O385" s="1">
        <v>165</v>
      </c>
      <c r="P385" s="309">
        <v>447515</v>
      </c>
      <c r="Q385" s="309">
        <v>7384</v>
      </c>
      <c r="R385" s="368">
        <f t="shared" si="49"/>
        <v>3.8348797782068408E-6</v>
      </c>
    </row>
    <row r="386" spans="2:18" x14ac:dyDescent="0.3">
      <c r="B386" s="54" t="s">
        <v>1534</v>
      </c>
      <c r="C386" s="54" t="s">
        <v>28</v>
      </c>
      <c r="E386" s="1">
        <v>4714</v>
      </c>
      <c r="F386" s="309">
        <v>10403</v>
      </c>
      <c r="G386" s="309">
        <v>4904</v>
      </c>
      <c r="H386" s="368">
        <f t="shared" si="47"/>
        <v>1.7342584097793899E-5</v>
      </c>
      <c r="J386" s="1">
        <v>4800</v>
      </c>
      <c r="K386" s="309">
        <v>10450</v>
      </c>
      <c r="L386" s="309">
        <v>5016</v>
      </c>
      <c r="M386" s="368">
        <f t="shared" si="48"/>
        <v>1.7254899883310986E-5</v>
      </c>
      <c r="O386" s="1">
        <v>4157</v>
      </c>
      <c r="P386" s="309">
        <v>10067</v>
      </c>
      <c r="Q386" s="309">
        <v>4185</v>
      </c>
      <c r="R386" s="368">
        <f t="shared" si="49"/>
        <v>1.3983635818087753E-5</v>
      </c>
    </row>
    <row r="387" spans="2:18" x14ac:dyDescent="0.3">
      <c r="B387" s="54" t="s">
        <v>1534</v>
      </c>
      <c r="C387" s="54" t="s">
        <v>24</v>
      </c>
      <c r="E387" s="1">
        <v>906000</v>
      </c>
      <c r="F387" s="309">
        <v>21540</v>
      </c>
      <c r="G387" s="309">
        <v>1951551</v>
      </c>
      <c r="H387" s="368">
        <f t="shared" ref="H387:H450" si="50">G387/(VLOOKUP($C387,$W$5:$Z$13,2,FALSE)*10^6)</f>
        <v>1.7217372710554551E-3</v>
      </c>
      <c r="J387" s="1">
        <v>918000</v>
      </c>
      <c r="K387" s="309">
        <v>21541</v>
      </c>
      <c r="L387" s="309">
        <v>1977433</v>
      </c>
      <c r="M387" s="368">
        <f t="shared" ref="M387:M450" si="51">L387/(VLOOKUP($C387,$W$5:$Z$13,3,FALSE)*10^6)</f>
        <v>1.7644147077149658E-3</v>
      </c>
      <c r="O387" s="1">
        <v>864098</v>
      </c>
      <c r="P387" s="309">
        <v>21641</v>
      </c>
      <c r="Q387" s="309">
        <v>1870000</v>
      </c>
      <c r="R387" s="368">
        <f t="shared" ref="R387:R450" si="52">Q387/(VLOOKUP($C387,$W$5:$Z$13,4,FALSE)*10^6)</f>
        <v>1.6322505403676703E-3</v>
      </c>
    </row>
    <row r="388" spans="2:18" x14ac:dyDescent="0.3">
      <c r="B388" s="54" t="s">
        <v>1534</v>
      </c>
      <c r="C388" s="54" t="s">
        <v>1472</v>
      </c>
      <c r="E388" s="1">
        <v>169000</v>
      </c>
      <c r="F388" s="309">
        <v>161006</v>
      </c>
      <c r="G388" s="309">
        <v>2721000</v>
      </c>
      <c r="H388" s="368">
        <f t="shared" si="50"/>
        <v>6.7974837798509494E-3</v>
      </c>
      <c r="J388" s="1">
        <v>177000</v>
      </c>
      <c r="K388" s="309">
        <v>182034</v>
      </c>
      <c r="L388" s="309">
        <v>3222000</v>
      </c>
      <c r="M388" s="368">
        <f t="shared" si="51"/>
        <v>7.98348149786288E-3</v>
      </c>
      <c r="O388" s="1">
        <v>188000</v>
      </c>
      <c r="P388" s="309">
        <v>173914</v>
      </c>
      <c r="Q388" s="309">
        <v>3269574</v>
      </c>
      <c r="R388" s="368">
        <f t="shared" si="52"/>
        <v>7.9610429392014681E-3</v>
      </c>
    </row>
    <row r="389" spans="2:18" x14ac:dyDescent="0.3">
      <c r="B389" s="54" t="s">
        <v>1534</v>
      </c>
      <c r="C389" s="54" t="s">
        <v>25</v>
      </c>
      <c r="E389" s="1">
        <v>21500</v>
      </c>
      <c r="F389" s="309">
        <v>256336</v>
      </c>
      <c r="G389" s="309">
        <v>551122</v>
      </c>
      <c r="H389" s="368">
        <f t="shared" si="50"/>
        <v>1.4914802678745347E-3</v>
      </c>
      <c r="J389" s="1">
        <v>21800</v>
      </c>
      <c r="K389" s="309">
        <v>257181</v>
      </c>
      <c r="L389" s="309">
        <v>560655</v>
      </c>
      <c r="M389" s="368">
        <f t="shared" si="51"/>
        <v>1.5373801244948436E-3</v>
      </c>
      <c r="O389" s="1">
        <v>22170</v>
      </c>
      <c r="P389" s="309">
        <v>257508</v>
      </c>
      <c r="Q389" s="309">
        <v>570895</v>
      </c>
      <c r="R389" s="368">
        <f t="shared" si="52"/>
        <v>1.5437238405774613E-3</v>
      </c>
    </row>
    <row r="390" spans="2:18" x14ac:dyDescent="0.3">
      <c r="B390" s="54" t="s">
        <v>1534</v>
      </c>
      <c r="C390" s="54" t="s">
        <v>1468</v>
      </c>
      <c r="E390" s="1">
        <v>10700</v>
      </c>
      <c r="F390" s="309">
        <v>29749</v>
      </c>
      <c r="G390" s="309">
        <v>31831</v>
      </c>
      <c r="H390" s="368">
        <f t="shared" si="50"/>
        <v>4.4900199865486446E-5</v>
      </c>
      <c r="J390" s="1">
        <v>10950</v>
      </c>
      <c r="K390" s="309">
        <v>29739</v>
      </c>
      <c r="L390" s="309">
        <v>32564</v>
      </c>
      <c r="M390" s="368">
        <f t="shared" si="51"/>
        <v>4.5306559151083416E-5</v>
      </c>
      <c r="O390" s="1">
        <v>14120</v>
      </c>
      <c r="P390" s="309">
        <v>29745</v>
      </c>
      <c r="Q390" s="309">
        <v>42000</v>
      </c>
      <c r="R390" s="368">
        <f t="shared" si="52"/>
        <v>5.89892485521426E-5</v>
      </c>
    </row>
    <row r="391" spans="2:18" x14ac:dyDescent="0.3">
      <c r="B391" s="54" t="s">
        <v>1534</v>
      </c>
      <c r="C391" s="54" t="s">
        <v>27</v>
      </c>
      <c r="E391" s="1">
        <v>15000</v>
      </c>
      <c r="F391" s="309">
        <v>25333</v>
      </c>
      <c r="G391" s="309">
        <v>38000</v>
      </c>
      <c r="H391" s="368">
        <f t="shared" si="50"/>
        <v>1.0583701763828768E-4</v>
      </c>
      <c r="J391" s="1">
        <v>15000</v>
      </c>
      <c r="K391" s="309">
        <v>25333</v>
      </c>
      <c r="L391" s="309">
        <v>38000</v>
      </c>
      <c r="M391" s="368">
        <f t="shared" si="51"/>
        <v>1.1040463540021145E-4</v>
      </c>
      <c r="O391" s="1">
        <v>15000</v>
      </c>
      <c r="P391" s="309">
        <v>26000</v>
      </c>
      <c r="Q391" s="309">
        <v>39000</v>
      </c>
      <c r="R391" s="368">
        <f t="shared" si="52"/>
        <v>1.1702072366803727E-4</v>
      </c>
    </row>
    <row r="392" spans="2:18" x14ac:dyDescent="0.3">
      <c r="B392" s="54" t="s">
        <v>1534</v>
      </c>
      <c r="C392" s="54" t="s">
        <v>1470</v>
      </c>
      <c r="E392" s="1">
        <v>252000</v>
      </c>
      <c r="F392" s="309">
        <v>1029812</v>
      </c>
      <c r="G392" s="309">
        <v>25951271</v>
      </c>
      <c r="H392" s="368">
        <f t="shared" si="50"/>
        <v>1.4342660528405144E-2</v>
      </c>
      <c r="J392" s="1">
        <v>268400</v>
      </c>
      <c r="K392" s="309">
        <v>1030753</v>
      </c>
      <c r="L392" s="309">
        <v>27665415</v>
      </c>
      <c r="M392" s="368">
        <f t="shared" si="51"/>
        <v>1.4527493574925728E-2</v>
      </c>
      <c r="O392" s="1">
        <v>270144</v>
      </c>
      <c r="P392" s="309">
        <v>1076725</v>
      </c>
      <c r="Q392" s="309">
        <v>29087086</v>
      </c>
      <c r="R392" s="368">
        <f t="shared" si="52"/>
        <v>1.5106375664729591E-2</v>
      </c>
    </row>
    <row r="393" spans="2:18" x14ac:dyDescent="0.3">
      <c r="B393" s="54" t="s">
        <v>1534</v>
      </c>
      <c r="C393" s="54" t="s">
        <v>26</v>
      </c>
      <c r="E393" s="1">
        <v>300</v>
      </c>
      <c r="F393" s="309">
        <v>21267</v>
      </c>
      <c r="G393" s="309">
        <v>638</v>
      </c>
      <c r="H393" s="368">
        <f t="shared" si="50"/>
        <v>8.2645932268642839E-7</v>
      </c>
      <c r="J393" s="1">
        <v>220</v>
      </c>
      <c r="K393" s="309">
        <v>21091</v>
      </c>
      <c r="L393" s="309">
        <v>464</v>
      </c>
      <c r="M393" s="368">
        <f t="shared" si="51"/>
        <v>6.3289887117357668E-7</v>
      </c>
      <c r="O393" s="1">
        <v>154</v>
      </c>
      <c r="P393" s="309">
        <v>21429</v>
      </c>
      <c r="Q393" s="309">
        <v>330</v>
      </c>
      <c r="R393" s="368">
        <f t="shared" si="52"/>
        <v>4.3112601651071806E-7</v>
      </c>
    </row>
    <row r="394" spans="2:18" x14ac:dyDescent="0.3">
      <c r="B394" s="54" t="s">
        <v>1535</v>
      </c>
      <c r="C394" s="54" t="s">
        <v>28</v>
      </c>
      <c r="E394" s="1">
        <v>218965</v>
      </c>
      <c r="F394" s="309">
        <v>80000</v>
      </c>
      <c r="G394" s="309">
        <v>1751719</v>
      </c>
      <c r="H394" s="368">
        <f t="shared" si="50"/>
        <v>6.1948071111752505E-3</v>
      </c>
      <c r="J394" s="1">
        <v>237182</v>
      </c>
      <c r="K394" s="309">
        <v>79913</v>
      </c>
      <c r="L394" s="309">
        <v>1895396</v>
      </c>
      <c r="M394" s="368">
        <f t="shared" si="51"/>
        <v>6.5201092941044878E-3</v>
      </c>
      <c r="O394" s="1">
        <v>258492</v>
      </c>
      <c r="P394" s="309">
        <v>83000</v>
      </c>
      <c r="Q394" s="309">
        <v>2145484</v>
      </c>
      <c r="R394" s="368">
        <f t="shared" si="52"/>
        <v>7.1688570871049429E-3</v>
      </c>
    </row>
    <row r="395" spans="2:18" x14ac:dyDescent="0.3">
      <c r="B395" s="54" t="s">
        <v>1535</v>
      </c>
      <c r="C395" s="54" t="s">
        <v>24</v>
      </c>
      <c r="E395" s="1">
        <v>605397</v>
      </c>
      <c r="F395" s="309">
        <v>13500</v>
      </c>
      <c r="G395" s="309">
        <v>817286</v>
      </c>
      <c r="H395" s="368">
        <f t="shared" si="50"/>
        <v>7.2104278459124492E-4</v>
      </c>
      <c r="J395" s="1">
        <v>611474</v>
      </c>
      <c r="K395" s="309">
        <v>13386</v>
      </c>
      <c r="L395" s="309">
        <v>818544</v>
      </c>
      <c r="M395" s="368">
        <f t="shared" si="51"/>
        <v>7.3036662810413249E-4</v>
      </c>
      <c r="O395" s="1">
        <v>602050</v>
      </c>
      <c r="P395" s="309">
        <v>14473</v>
      </c>
      <c r="Q395" s="309">
        <v>871359</v>
      </c>
      <c r="R395" s="368">
        <f t="shared" si="52"/>
        <v>7.6057550727499088E-4</v>
      </c>
    </row>
    <row r="396" spans="2:18" x14ac:dyDescent="0.3">
      <c r="B396" s="54" t="s">
        <v>1535</v>
      </c>
      <c r="C396" s="54" t="s">
        <v>1472</v>
      </c>
      <c r="E396" s="1">
        <v>316610</v>
      </c>
      <c r="F396" s="309">
        <v>26686</v>
      </c>
      <c r="G396" s="309">
        <v>844907</v>
      </c>
      <c r="H396" s="368">
        <f t="shared" si="50"/>
        <v>2.1107098963552098E-3</v>
      </c>
      <c r="J396" s="1">
        <v>317235</v>
      </c>
      <c r="K396" s="309">
        <v>26675</v>
      </c>
      <c r="L396" s="309">
        <v>846220</v>
      </c>
      <c r="M396" s="368">
        <f t="shared" si="51"/>
        <v>2.0967665155560292E-3</v>
      </c>
      <c r="O396" s="1">
        <v>317860</v>
      </c>
      <c r="P396" s="309">
        <v>26664</v>
      </c>
      <c r="Q396" s="309">
        <v>847533</v>
      </c>
      <c r="R396" s="368">
        <f t="shared" si="52"/>
        <v>2.0636470088733999E-3</v>
      </c>
    </row>
    <row r="397" spans="2:18" x14ac:dyDescent="0.3">
      <c r="B397" s="54" t="s">
        <v>1535</v>
      </c>
      <c r="C397" s="54" t="s">
        <v>25</v>
      </c>
      <c r="E397" s="1">
        <v>7735</v>
      </c>
      <c r="F397" s="309">
        <v>170120</v>
      </c>
      <c r="G397" s="309">
        <v>131588</v>
      </c>
      <c r="H397" s="368">
        <f t="shared" si="50"/>
        <v>3.5611154243357055E-4</v>
      </c>
      <c r="J397" s="1">
        <v>11753</v>
      </c>
      <c r="K397" s="309">
        <v>128755</v>
      </c>
      <c r="L397" s="309">
        <v>151326</v>
      </c>
      <c r="M397" s="368">
        <f t="shared" si="51"/>
        <v>4.1495319709858417E-4</v>
      </c>
      <c r="O397" s="1">
        <v>12221</v>
      </c>
      <c r="P397" s="309">
        <v>132733</v>
      </c>
      <c r="Q397" s="309">
        <v>162213</v>
      </c>
      <c r="R397" s="368">
        <f t="shared" si="52"/>
        <v>4.3863070328447739E-4</v>
      </c>
    </row>
    <row r="398" spans="2:18" x14ac:dyDescent="0.3">
      <c r="B398" s="54" t="s">
        <v>1535</v>
      </c>
      <c r="C398" s="54" t="s">
        <v>1468</v>
      </c>
      <c r="E398" s="1">
        <v>1805878</v>
      </c>
      <c r="F398" s="309">
        <v>12171</v>
      </c>
      <c r="G398" s="309">
        <v>2197907</v>
      </c>
      <c r="H398" s="368">
        <f t="shared" si="50"/>
        <v>3.1003255815322079E-3</v>
      </c>
      <c r="J398" s="1">
        <v>1859767</v>
      </c>
      <c r="K398" s="309">
        <v>12581</v>
      </c>
      <c r="L398" s="309">
        <v>2339747</v>
      </c>
      <c r="M398" s="368">
        <f t="shared" si="51"/>
        <v>3.2553091098780854E-3</v>
      </c>
      <c r="O398" s="1">
        <v>1924161</v>
      </c>
      <c r="P398" s="309">
        <v>13508</v>
      </c>
      <c r="Q398" s="309">
        <v>2599164</v>
      </c>
      <c r="R398" s="368">
        <f t="shared" si="52"/>
        <v>3.6505412196138373E-3</v>
      </c>
    </row>
    <row r="399" spans="2:18" x14ac:dyDescent="0.3">
      <c r="B399" s="54" t="s">
        <v>1535</v>
      </c>
      <c r="C399" s="54" t="s">
        <v>1470</v>
      </c>
      <c r="E399" s="1">
        <v>5746</v>
      </c>
      <c r="F399" s="309">
        <v>535362</v>
      </c>
      <c r="G399" s="309">
        <v>307619</v>
      </c>
      <c r="H399" s="368">
        <f t="shared" si="50"/>
        <v>1.7001382664793034E-4</v>
      </c>
      <c r="J399" s="1">
        <v>5786</v>
      </c>
      <c r="K399" s="309">
        <v>535493</v>
      </c>
      <c r="L399" s="309">
        <v>309836</v>
      </c>
      <c r="M399" s="368">
        <f t="shared" si="51"/>
        <v>1.6269918594319615E-4</v>
      </c>
      <c r="O399" s="1">
        <v>5825</v>
      </c>
      <c r="P399" s="309">
        <v>535583</v>
      </c>
      <c r="Q399" s="309">
        <v>311977</v>
      </c>
      <c r="R399" s="368">
        <f t="shared" si="52"/>
        <v>1.6202522867898639E-4</v>
      </c>
    </row>
    <row r="400" spans="2:18" x14ac:dyDescent="0.3">
      <c r="B400" s="54" t="s">
        <v>1536</v>
      </c>
      <c r="C400" s="54" t="s">
        <v>28</v>
      </c>
      <c r="E400" s="1">
        <v>6112</v>
      </c>
      <c r="F400" s="309">
        <v>89043</v>
      </c>
      <c r="G400" s="309">
        <v>54423</v>
      </c>
      <c r="H400" s="368">
        <f t="shared" si="50"/>
        <v>1.9246236834303372E-4</v>
      </c>
      <c r="J400" s="1">
        <v>6218</v>
      </c>
      <c r="K400" s="309">
        <v>86985</v>
      </c>
      <c r="L400" s="309">
        <v>54087</v>
      </c>
      <c r="M400" s="368">
        <f t="shared" si="51"/>
        <v>1.860577691364915E-4</v>
      </c>
      <c r="O400" s="1">
        <v>6602</v>
      </c>
      <c r="P400" s="309">
        <v>84933</v>
      </c>
      <c r="Q400" s="309">
        <v>56073</v>
      </c>
      <c r="R400" s="368">
        <f t="shared" si="52"/>
        <v>1.8736067173898079E-4</v>
      </c>
    </row>
    <row r="401" spans="2:18" x14ac:dyDescent="0.3">
      <c r="B401" s="54" t="s">
        <v>1536</v>
      </c>
      <c r="C401" s="54" t="s">
        <v>24</v>
      </c>
      <c r="E401" s="1">
        <v>7000</v>
      </c>
      <c r="F401" s="309">
        <v>10000</v>
      </c>
      <c r="G401" s="309">
        <v>7000</v>
      </c>
      <c r="H401" s="368">
        <f t="shared" si="50"/>
        <v>6.1756832885167676E-6</v>
      </c>
      <c r="J401" s="1">
        <v>7000</v>
      </c>
      <c r="K401" s="309">
        <v>10000</v>
      </c>
      <c r="L401" s="309">
        <v>7000</v>
      </c>
      <c r="M401" s="368">
        <f t="shared" si="51"/>
        <v>6.2459273988068169E-6</v>
      </c>
      <c r="O401" s="1">
        <v>7000</v>
      </c>
      <c r="P401" s="309">
        <v>10000</v>
      </c>
      <c r="Q401" s="309">
        <v>7000</v>
      </c>
      <c r="R401" s="368">
        <f t="shared" si="52"/>
        <v>6.1100287607345953E-6</v>
      </c>
    </row>
    <row r="402" spans="2:18" x14ac:dyDescent="0.3">
      <c r="B402" s="54" t="s">
        <v>1536</v>
      </c>
      <c r="C402" s="54" t="s">
        <v>1472</v>
      </c>
      <c r="E402" s="1">
        <v>9545</v>
      </c>
      <c r="F402" s="309">
        <v>84337</v>
      </c>
      <c r="G402" s="309">
        <v>80500</v>
      </c>
      <c r="H402" s="368">
        <f t="shared" si="50"/>
        <v>2.0110159657405418E-4</v>
      </c>
      <c r="J402" s="1">
        <v>9548</v>
      </c>
      <c r="K402" s="309">
        <v>84311</v>
      </c>
      <c r="L402" s="309">
        <v>80500</v>
      </c>
      <c r="M402" s="368">
        <f t="shared" si="51"/>
        <v>1.9946314729297389E-4</v>
      </c>
      <c r="O402" s="1">
        <v>9574</v>
      </c>
      <c r="P402" s="309">
        <v>84292</v>
      </c>
      <c r="Q402" s="309">
        <v>80701</v>
      </c>
      <c r="R402" s="368">
        <f t="shared" si="52"/>
        <v>1.9649780865534704E-4</v>
      </c>
    </row>
    <row r="403" spans="2:18" x14ac:dyDescent="0.3">
      <c r="B403" s="54" t="s">
        <v>1536</v>
      </c>
      <c r="C403" s="54" t="s">
        <v>1468</v>
      </c>
      <c r="E403" s="1">
        <v>104923</v>
      </c>
      <c r="F403" s="309">
        <v>15726</v>
      </c>
      <c r="G403" s="309">
        <v>165000</v>
      </c>
      <c r="H403" s="368">
        <f t="shared" si="50"/>
        <v>2.3274584454793324E-4</v>
      </c>
      <c r="J403" s="1">
        <v>112211</v>
      </c>
      <c r="K403" s="309">
        <v>15685</v>
      </c>
      <c r="L403" s="309">
        <v>176000</v>
      </c>
      <c r="M403" s="368">
        <f t="shared" si="51"/>
        <v>2.448702373968395E-4</v>
      </c>
      <c r="O403" s="1">
        <v>120000</v>
      </c>
      <c r="P403" s="309">
        <v>15583</v>
      </c>
      <c r="Q403" s="309">
        <v>187000</v>
      </c>
      <c r="R403" s="368">
        <f t="shared" si="52"/>
        <v>2.6264260664882541E-4</v>
      </c>
    </row>
    <row r="404" spans="2:18" x14ac:dyDescent="0.3">
      <c r="B404" s="54" t="s">
        <v>1536</v>
      </c>
      <c r="C404" s="54" t="s">
        <v>1470</v>
      </c>
      <c r="E404" s="1">
        <v>257</v>
      </c>
      <c r="F404" s="309">
        <v>264669</v>
      </c>
      <c r="G404" s="309">
        <v>6802</v>
      </c>
      <c r="H404" s="368">
        <f t="shared" si="50"/>
        <v>3.7593063135216686E-6</v>
      </c>
      <c r="J404" s="1">
        <v>261</v>
      </c>
      <c r="K404" s="309">
        <v>264100</v>
      </c>
      <c r="L404" s="309">
        <v>6893</v>
      </c>
      <c r="M404" s="368">
        <f t="shared" si="51"/>
        <v>3.6196100153192366E-6</v>
      </c>
      <c r="O404" s="1">
        <v>265</v>
      </c>
      <c r="P404" s="309">
        <v>263547</v>
      </c>
      <c r="Q404" s="309">
        <v>6984</v>
      </c>
      <c r="R404" s="368">
        <f t="shared" si="52"/>
        <v>3.6271398118901101E-6</v>
      </c>
    </row>
    <row r="405" spans="2:18" x14ac:dyDescent="0.3">
      <c r="B405" s="54" t="s">
        <v>1537</v>
      </c>
      <c r="C405" s="54" t="s">
        <v>28</v>
      </c>
      <c r="E405" s="1">
        <v>1354</v>
      </c>
      <c r="F405" s="309">
        <v>106529</v>
      </c>
      <c r="G405" s="309">
        <v>14424</v>
      </c>
      <c r="H405" s="368">
        <f t="shared" si="50"/>
        <v>5.1009264483397062E-5</v>
      </c>
      <c r="J405" s="1">
        <v>1873</v>
      </c>
      <c r="K405" s="309">
        <v>106385</v>
      </c>
      <c r="L405" s="309">
        <v>19926</v>
      </c>
      <c r="M405" s="368">
        <f t="shared" si="51"/>
        <v>6.8544883388128936E-5</v>
      </c>
      <c r="O405" s="1">
        <v>1745</v>
      </c>
      <c r="P405" s="309">
        <v>106304</v>
      </c>
      <c r="Q405" s="309">
        <v>18550</v>
      </c>
      <c r="R405" s="368">
        <f t="shared" si="52"/>
        <v>6.19824239965419E-5</v>
      </c>
    </row>
    <row r="406" spans="2:18" x14ac:dyDescent="0.3">
      <c r="B406" s="54" t="s">
        <v>1537</v>
      </c>
      <c r="C406" s="54" t="s">
        <v>24</v>
      </c>
      <c r="E406" s="1">
        <v>2924</v>
      </c>
      <c r="F406" s="309">
        <v>13680</v>
      </c>
      <c r="G406" s="309">
        <v>4000</v>
      </c>
      <c r="H406" s="368">
        <f t="shared" si="50"/>
        <v>3.5289618791524383E-6</v>
      </c>
      <c r="J406" s="1">
        <v>2929</v>
      </c>
      <c r="K406" s="309">
        <v>13657</v>
      </c>
      <c r="L406" s="309">
        <v>4000</v>
      </c>
      <c r="M406" s="368">
        <f t="shared" si="51"/>
        <v>3.5691013707467527E-6</v>
      </c>
      <c r="O406" s="1">
        <v>2934</v>
      </c>
      <c r="P406" s="309">
        <v>13633</v>
      </c>
      <c r="Q406" s="309">
        <v>4000</v>
      </c>
      <c r="R406" s="368">
        <f t="shared" si="52"/>
        <v>3.4914450061340541E-6</v>
      </c>
    </row>
    <row r="407" spans="2:18" x14ac:dyDescent="0.3">
      <c r="B407" s="54" t="s">
        <v>1537</v>
      </c>
      <c r="C407" s="54" t="s">
        <v>1468</v>
      </c>
      <c r="E407" s="1">
        <v>172255</v>
      </c>
      <c r="F407" s="309">
        <v>36580</v>
      </c>
      <c r="G407" s="309">
        <v>630104</v>
      </c>
      <c r="H407" s="368">
        <f t="shared" si="50"/>
        <v>8.8881265232139959E-4</v>
      </c>
      <c r="J407" s="1">
        <v>167161</v>
      </c>
      <c r="K407" s="309">
        <v>57697</v>
      </c>
      <c r="L407" s="309">
        <v>964472</v>
      </c>
      <c r="M407" s="368">
        <f t="shared" si="51"/>
        <v>1.3418777704693441E-3</v>
      </c>
      <c r="O407" s="1">
        <v>206428</v>
      </c>
      <c r="P407" s="309">
        <v>50865</v>
      </c>
      <c r="Q407" s="309">
        <v>1050000</v>
      </c>
      <c r="R407" s="368">
        <f t="shared" si="52"/>
        <v>1.4747312138035651E-3</v>
      </c>
    </row>
    <row r="408" spans="2:18" x14ac:dyDescent="0.3">
      <c r="B408" s="54" t="s">
        <v>1537</v>
      </c>
      <c r="C408" s="54" t="s">
        <v>27</v>
      </c>
      <c r="E408" s="1">
        <v>0</v>
      </c>
      <c r="F408" s="309"/>
      <c r="G408" s="309">
        <v>0</v>
      </c>
      <c r="H408" s="368">
        <f t="shared" si="50"/>
        <v>0</v>
      </c>
      <c r="J408" s="1">
        <v>0</v>
      </c>
      <c r="K408" s="309"/>
      <c r="L408" s="309">
        <v>0</v>
      </c>
      <c r="M408" s="368">
        <f t="shared" si="51"/>
        <v>0</v>
      </c>
      <c r="O408" s="1">
        <v>0</v>
      </c>
      <c r="P408" s="309"/>
      <c r="Q408" s="309">
        <v>0</v>
      </c>
      <c r="R408" s="368">
        <f t="shared" si="52"/>
        <v>0</v>
      </c>
    </row>
    <row r="409" spans="2:18" x14ac:dyDescent="0.3">
      <c r="B409" s="54" t="s">
        <v>1537</v>
      </c>
      <c r="C409" s="54" t="s">
        <v>1470</v>
      </c>
      <c r="E409" s="1">
        <v>37939</v>
      </c>
      <c r="F409" s="309">
        <v>490007</v>
      </c>
      <c r="G409" s="309">
        <v>1859037</v>
      </c>
      <c r="H409" s="368">
        <f t="shared" si="50"/>
        <v>1.0274462703867072E-3</v>
      </c>
      <c r="J409" s="1">
        <v>20704</v>
      </c>
      <c r="K409" s="309">
        <v>586599</v>
      </c>
      <c r="L409" s="309">
        <v>1214495</v>
      </c>
      <c r="M409" s="368">
        <f t="shared" si="51"/>
        <v>6.3774818882273853E-4</v>
      </c>
      <c r="O409" s="1">
        <v>17896</v>
      </c>
      <c r="P409" s="309">
        <v>582302</v>
      </c>
      <c r="Q409" s="309">
        <v>1042088</v>
      </c>
      <c r="R409" s="368">
        <f t="shared" si="52"/>
        <v>5.4120831504767203E-4</v>
      </c>
    </row>
    <row r="410" spans="2:18" x14ac:dyDescent="0.3">
      <c r="B410" s="54" t="s">
        <v>1538</v>
      </c>
      <c r="C410" s="54" t="s">
        <v>28</v>
      </c>
      <c r="E410" s="1">
        <v>102767</v>
      </c>
      <c r="F410" s="309">
        <v>44725</v>
      </c>
      <c r="G410" s="309">
        <v>459625</v>
      </c>
      <c r="H410" s="368">
        <f t="shared" si="50"/>
        <v>1.6254252071673165E-3</v>
      </c>
      <c r="J410" s="1">
        <v>107655</v>
      </c>
      <c r="K410" s="309">
        <v>44759</v>
      </c>
      <c r="L410" s="309">
        <v>481858</v>
      </c>
      <c r="M410" s="368">
        <f t="shared" si="51"/>
        <v>1.6575780598031232E-3</v>
      </c>
      <c r="O410" s="1">
        <v>113376</v>
      </c>
      <c r="P410" s="309">
        <v>44794</v>
      </c>
      <c r="Q410" s="309">
        <v>507856</v>
      </c>
      <c r="R410" s="368">
        <f t="shared" si="52"/>
        <v>1.6969350900909856E-3</v>
      </c>
    </row>
    <row r="411" spans="2:18" x14ac:dyDescent="0.3">
      <c r="B411" s="54" t="s">
        <v>1538</v>
      </c>
      <c r="C411" s="54" t="s">
        <v>24</v>
      </c>
      <c r="E411" s="1">
        <v>302440</v>
      </c>
      <c r="F411" s="309">
        <v>7439</v>
      </c>
      <c r="G411" s="309">
        <v>225000</v>
      </c>
      <c r="H411" s="368">
        <f t="shared" si="50"/>
        <v>1.9850410570232467E-4</v>
      </c>
      <c r="J411" s="1">
        <v>404424</v>
      </c>
      <c r="K411" s="309">
        <v>5787</v>
      </c>
      <c r="L411" s="309">
        <v>234033</v>
      </c>
      <c r="M411" s="368">
        <f t="shared" si="51"/>
        <v>2.0882187527499369E-4</v>
      </c>
      <c r="O411" s="1">
        <v>299584</v>
      </c>
      <c r="P411" s="309">
        <v>7344</v>
      </c>
      <c r="Q411" s="309">
        <v>220000</v>
      </c>
      <c r="R411" s="368">
        <f t="shared" si="52"/>
        <v>1.9202947533737298E-4</v>
      </c>
    </row>
    <row r="412" spans="2:18" x14ac:dyDescent="0.3">
      <c r="B412" s="54" t="s">
        <v>1538</v>
      </c>
      <c r="C412" s="54" t="s">
        <v>25</v>
      </c>
      <c r="E412" s="1">
        <v>3199</v>
      </c>
      <c r="F412" s="309">
        <v>126921</v>
      </c>
      <c r="G412" s="309">
        <v>40602</v>
      </c>
      <c r="H412" s="368">
        <f t="shared" si="50"/>
        <v>1.0987963071015466E-4</v>
      </c>
      <c r="J412" s="1">
        <v>3376</v>
      </c>
      <c r="K412" s="309">
        <v>126872</v>
      </c>
      <c r="L412" s="309">
        <v>42832</v>
      </c>
      <c r="M412" s="368">
        <f t="shared" si="51"/>
        <v>1.1745024211389025E-4</v>
      </c>
      <c r="O412" s="1">
        <v>3547</v>
      </c>
      <c r="P412" s="309">
        <v>126817</v>
      </c>
      <c r="Q412" s="309">
        <v>44982</v>
      </c>
      <c r="R412" s="368">
        <f t="shared" si="52"/>
        <v>1.2163320014513241E-4</v>
      </c>
    </row>
    <row r="413" spans="2:18" x14ac:dyDescent="0.3">
      <c r="B413" s="54" t="s">
        <v>1538</v>
      </c>
      <c r="C413" s="54" t="s">
        <v>1468</v>
      </c>
      <c r="E413" s="1">
        <v>67607</v>
      </c>
      <c r="F413" s="309">
        <v>26477</v>
      </c>
      <c r="G413" s="309">
        <v>179000</v>
      </c>
      <c r="H413" s="368">
        <f t="shared" si="50"/>
        <v>2.524939768126064E-4</v>
      </c>
      <c r="J413" s="1">
        <v>61315</v>
      </c>
      <c r="K413" s="309">
        <v>26852</v>
      </c>
      <c r="L413" s="309">
        <v>164643</v>
      </c>
      <c r="M413" s="368">
        <f t="shared" si="51"/>
        <v>2.2906915054390822E-4</v>
      </c>
      <c r="O413" s="1">
        <v>65007</v>
      </c>
      <c r="P413" s="309">
        <v>27228</v>
      </c>
      <c r="Q413" s="309">
        <v>177000</v>
      </c>
      <c r="R413" s="368">
        <f t="shared" si="52"/>
        <v>2.4859754746974383E-4</v>
      </c>
    </row>
    <row r="414" spans="2:18" x14ac:dyDescent="0.3">
      <c r="B414" s="54" t="s">
        <v>1538</v>
      </c>
      <c r="C414" s="54" t="s">
        <v>1470</v>
      </c>
      <c r="E414" s="1">
        <v>24684</v>
      </c>
      <c r="F414" s="309">
        <v>647152</v>
      </c>
      <c r="G414" s="309">
        <v>1597430</v>
      </c>
      <c r="H414" s="368">
        <f t="shared" si="50"/>
        <v>8.8286220000131129E-4</v>
      </c>
      <c r="J414" s="1">
        <v>25106</v>
      </c>
      <c r="K414" s="309">
        <v>654380</v>
      </c>
      <c r="L414" s="309">
        <v>1642887</v>
      </c>
      <c r="M414" s="368">
        <f t="shared" si="51"/>
        <v>8.6270277661943632E-4</v>
      </c>
      <c r="O414" s="1">
        <v>25535</v>
      </c>
      <c r="P414" s="309">
        <v>661649</v>
      </c>
      <c r="Q414" s="309">
        <v>1689520</v>
      </c>
      <c r="R414" s="368">
        <f t="shared" si="52"/>
        <v>8.7745206972860519E-4</v>
      </c>
    </row>
    <row r="415" spans="2:18" x14ac:dyDescent="0.3">
      <c r="B415" s="54" t="s">
        <v>1539</v>
      </c>
      <c r="C415" s="54" t="s">
        <v>28</v>
      </c>
      <c r="E415" s="1">
        <v>2852</v>
      </c>
      <c r="F415" s="309">
        <v>90929</v>
      </c>
      <c r="G415" s="309">
        <v>25933</v>
      </c>
      <c r="H415" s="368">
        <f t="shared" si="50"/>
        <v>9.17098763067066E-5</v>
      </c>
      <c r="J415" s="1">
        <v>2798</v>
      </c>
      <c r="K415" s="309">
        <v>94110</v>
      </c>
      <c r="L415" s="309">
        <v>26332</v>
      </c>
      <c r="M415" s="368">
        <f t="shared" si="51"/>
        <v>9.0581344443250579E-5</v>
      </c>
      <c r="O415" s="1">
        <v>2746</v>
      </c>
      <c r="P415" s="309">
        <v>97349</v>
      </c>
      <c r="Q415" s="309">
        <v>26732</v>
      </c>
      <c r="R415" s="368">
        <f t="shared" si="52"/>
        <v>8.932151796633735E-5</v>
      </c>
    </row>
    <row r="416" spans="2:18" x14ac:dyDescent="0.3">
      <c r="B416" s="54" t="s">
        <v>1539</v>
      </c>
      <c r="C416" s="54" t="s">
        <v>24</v>
      </c>
      <c r="E416" s="1">
        <v>381152</v>
      </c>
      <c r="F416" s="309">
        <v>17939</v>
      </c>
      <c r="G416" s="309">
        <v>683734</v>
      </c>
      <c r="H416" s="368">
        <f t="shared" si="50"/>
        <v>6.0321780537010337E-4</v>
      </c>
      <c r="J416" s="1">
        <v>394771</v>
      </c>
      <c r="K416" s="309">
        <v>18065</v>
      </c>
      <c r="L416" s="309">
        <v>713142</v>
      </c>
      <c r="M416" s="368">
        <f t="shared" si="51"/>
        <v>6.3631902243427014E-4</v>
      </c>
      <c r="O416" s="1">
        <v>326943</v>
      </c>
      <c r="P416" s="309">
        <v>18214</v>
      </c>
      <c r="Q416" s="309">
        <v>595479</v>
      </c>
      <c r="R416" s="368">
        <f t="shared" si="52"/>
        <v>5.1977054520192508E-4</v>
      </c>
    </row>
    <row r="417" spans="2:18" x14ac:dyDescent="0.3">
      <c r="B417" s="54" t="s">
        <v>1539</v>
      </c>
      <c r="C417" s="54" t="s">
        <v>1472</v>
      </c>
      <c r="E417" s="1">
        <v>180000</v>
      </c>
      <c r="F417" s="309">
        <v>133786</v>
      </c>
      <c r="G417" s="309">
        <v>2408148</v>
      </c>
      <c r="H417" s="368">
        <f t="shared" si="50"/>
        <v>6.0159305290262786E-3</v>
      </c>
      <c r="J417" s="1">
        <v>190000</v>
      </c>
      <c r="K417" s="309">
        <v>131337</v>
      </c>
      <c r="L417" s="309">
        <v>2495400</v>
      </c>
      <c r="M417" s="368">
        <f t="shared" si="51"/>
        <v>6.1831097857749937E-3</v>
      </c>
      <c r="O417" s="1">
        <v>200000</v>
      </c>
      <c r="P417" s="309">
        <v>116860</v>
      </c>
      <c r="Q417" s="309">
        <v>2337200</v>
      </c>
      <c r="R417" s="368">
        <f t="shared" si="52"/>
        <v>5.6908176898585782E-3</v>
      </c>
    </row>
    <row r="418" spans="2:18" x14ac:dyDescent="0.3">
      <c r="B418" s="54" t="s">
        <v>1539</v>
      </c>
      <c r="C418" s="54" t="s">
        <v>25</v>
      </c>
      <c r="E418" s="1">
        <v>1759</v>
      </c>
      <c r="F418" s="309">
        <v>148664</v>
      </c>
      <c r="G418" s="309">
        <v>26150</v>
      </c>
      <c r="H418" s="368">
        <f t="shared" si="50"/>
        <v>7.0768739054000897E-5</v>
      </c>
      <c r="J418" s="1">
        <v>1798</v>
      </c>
      <c r="K418" s="309">
        <v>147998</v>
      </c>
      <c r="L418" s="309">
        <v>26610</v>
      </c>
      <c r="M418" s="368">
        <f t="shared" si="51"/>
        <v>7.2967663024155294E-5</v>
      </c>
      <c r="O418" s="1">
        <v>1843</v>
      </c>
      <c r="P418" s="309">
        <v>143907</v>
      </c>
      <c r="Q418" s="309">
        <v>26522</v>
      </c>
      <c r="R418" s="368">
        <f t="shared" si="52"/>
        <v>7.1716591842274722E-5</v>
      </c>
    </row>
    <row r="419" spans="2:18" x14ac:dyDescent="0.3">
      <c r="B419" s="54" t="s">
        <v>1539</v>
      </c>
      <c r="C419" s="54" t="s">
        <v>1468</v>
      </c>
      <c r="E419" s="1">
        <v>15619</v>
      </c>
      <c r="F419" s="309">
        <v>38180</v>
      </c>
      <c r="G419" s="309">
        <v>59634</v>
      </c>
      <c r="H419" s="368">
        <f t="shared" si="50"/>
        <v>8.4118579962251221E-5</v>
      </c>
      <c r="J419" s="1">
        <v>15494</v>
      </c>
      <c r="K419" s="309">
        <v>38989</v>
      </c>
      <c r="L419" s="309">
        <v>60409</v>
      </c>
      <c r="M419" s="368">
        <f t="shared" si="51"/>
        <v>8.4047535061964072E-5</v>
      </c>
      <c r="O419" s="1">
        <v>15232</v>
      </c>
      <c r="P419" s="309">
        <v>37581</v>
      </c>
      <c r="Q419" s="309">
        <v>57244</v>
      </c>
      <c r="R419" s="368">
        <f t="shared" si="52"/>
        <v>8.0399536764734549E-5</v>
      </c>
    </row>
    <row r="420" spans="2:18" x14ac:dyDescent="0.3">
      <c r="B420" s="54" t="s">
        <v>1539</v>
      </c>
      <c r="C420" s="54" t="s">
        <v>27</v>
      </c>
      <c r="E420" s="1">
        <v>1105</v>
      </c>
      <c r="F420" s="309">
        <v>20000</v>
      </c>
      <c r="G420" s="309">
        <v>2210</v>
      </c>
      <c r="H420" s="368">
        <f t="shared" si="50"/>
        <v>6.1552581310688358E-6</v>
      </c>
      <c r="J420" s="1">
        <v>1090</v>
      </c>
      <c r="K420" s="309">
        <v>20000</v>
      </c>
      <c r="L420" s="309">
        <v>2180</v>
      </c>
      <c r="M420" s="368">
        <f t="shared" si="51"/>
        <v>6.3337396098016041E-6</v>
      </c>
      <c r="O420" s="1">
        <v>749</v>
      </c>
      <c r="P420" s="309">
        <v>20294</v>
      </c>
      <c r="Q420" s="309">
        <v>1520</v>
      </c>
      <c r="R420" s="368">
        <f t="shared" si="52"/>
        <v>4.5608076916773499E-6</v>
      </c>
    </row>
    <row r="421" spans="2:18" x14ac:dyDescent="0.3">
      <c r="B421" s="54" t="s">
        <v>1539</v>
      </c>
      <c r="C421" s="54" t="s">
        <v>1470</v>
      </c>
      <c r="E421" s="1">
        <v>62805</v>
      </c>
      <c r="F421" s="309">
        <v>856599</v>
      </c>
      <c r="G421" s="309">
        <v>5379869</v>
      </c>
      <c r="H421" s="368">
        <f t="shared" si="50"/>
        <v>2.9733277708937824E-3</v>
      </c>
      <c r="J421" s="1">
        <v>64069</v>
      </c>
      <c r="K421" s="309">
        <v>862508</v>
      </c>
      <c r="L421" s="309">
        <v>5526000</v>
      </c>
      <c r="M421" s="368">
        <f t="shared" si="51"/>
        <v>2.9017793333315106E-3</v>
      </c>
      <c r="O421" s="1">
        <v>62286</v>
      </c>
      <c r="P421" s="309">
        <v>868413</v>
      </c>
      <c r="Q421" s="309">
        <v>5409000</v>
      </c>
      <c r="R421" s="368">
        <f t="shared" si="52"/>
        <v>2.8091636945179847E-3</v>
      </c>
    </row>
    <row r="422" spans="2:18" x14ac:dyDescent="0.3">
      <c r="B422" s="54" t="s">
        <v>1539</v>
      </c>
      <c r="C422" s="54" t="s">
        <v>26</v>
      </c>
      <c r="E422" s="1">
        <v>2258</v>
      </c>
      <c r="F422" s="309">
        <v>5452</v>
      </c>
      <c r="G422" s="309">
        <v>1231</v>
      </c>
      <c r="H422" s="368">
        <f t="shared" si="50"/>
        <v>1.5946260599169173E-6</v>
      </c>
      <c r="J422" s="1">
        <v>2277</v>
      </c>
      <c r="K422" s="309">
        <v>5455</v>
      </c>
      <c r="L422" s="309">
        <v>1242</v>
      </c>
      <c r="M422" s="368">
        <f t="shared" si="51"/>
        <v>1.6940956853396167E-6</v>
      </c>
      <c r="O422" s="1">
        <v>2296</v>
      </c>
      <c r="P422" s="309">
        <v>5457</v>
      </c>
      <c r="Q422" s="309">
        <v>1253</v>
      </c>
      <c r="R422" s="368">
        <f t="shared" si="52"/>
        <v>1.6369724202664538E-6</v>
      </c>
    </row>
    <row r="423" spans="2:18" x14ac:dyDescent="0.3">
      <c r="B423" s="54" t="s">
        <v>8</v>
      </c>
      <c r="C423" s="54" t="s">
        <v>24</v>
      </c>
      <c r="E423" s="1">
        <v>988823</v>
      </c>
      <c r="F423" s="309">
        <v>68154</v>
      </c>
      <c r="G423" s="309">
        <v>6739186</v>
      </c>
      <c r="H423" s="368">
        <f t="shared" si="50"/>
        <v>5.9455826226294511E-3</v>
      </c>
      <c r="J423" s="1">
        <v>939080</v>
      </c>
      <c r="K423" s="309">
        <v>84450</v>
      </c>
      <c r="L423" s="309">
        <v>7930560</v>
      </c>
      <c r="M423" s="368">
        <f t="shared" si="51"/>
        <v>7.0762431416973417E-3</v>
      </c>
      <c r="O423" s="1">
        <v>1027590</v>
      </c>
      <c r="P423" s="309">
        <v>80087</v>
      </c>
      <c r="Q423" s="309">
        <v>8229690</v>
      </c>
      <c r="R423" s="368">
        <f t="shared" si="52"/>
        <v>7.1833775131328412E-3</v>
      </c>
    </row>
    <row r="424" spans="2:18" x14ac:dyDescent="0.3">
      <c r="B424" s="54" t="s">
        <v>8</v>
      </c>
      <c r="C424" s="54" t="s">
        <v>25</v>
      </c>
      <c r="E424" s="1">
        <v>16364</v>
      </c>
      <c r="F424" s="309">
        <v>246182</v>
      </c>
      <c r="G424" s="309">
        <v>402853</v>
      </c>
      <c r="H424" s="368">
        <f t="shared" si="50"/>
        <v>1.0902255768306471E-3</v>
      </c>
      <c r="J424" s="1">
        <v>13510</v>
      </c>
      <c r="K424" s="309">
        <v>242472</v>
      </c>
      <c r="L424" s="309">
        <v>327580</v>
      </c>
      <c r="M424" s="368">
        <f t="shared" si="51"/>
        <v>8.9826182087383659E-4</v>
      </c>
      <c r="O424" s="1">
        <v>13290</v>
      </c>
      <c r="P424" s="309">
        <v>258495</v>
      </c>
      <c r="Q424" s="309">
        <v>343540</v>
      </c>
      <c r="R424" s="368">
        <f t="shared" si="52"/>
        <v>9.2894645809120954E-4</v>
      </c>
    </row>
    <row r="425" spans="2:18" x14ac:dyDescent="0.3">
      <c r="B425" s="54" t="s">
        <v>8</v>
      </c>
      <c r="C425" s="54" t="s">
        <v>1468</v>
      </c>
      <c r="E425" s="1">
        <v>2765</v>
      </c>
      <c r="F425" s="309">
        <v>44495</v>
      </c>
      <c r="G425" s="309">
        <v>12303</v>
      </c>
      <c r="H425" s="368">
        <f t="shared" si="50"/>
        <v>1.7354376518019532E-5</v>
      </c>
      <c r="J425" s="1">
        <v>2930</v>
      </c>
      <c r="K425" s="309">
        <v>45802</v>
      </c>
      <c r="L425" s="309">
        <v>13420</v>
      </c>
      <c r="M425" s="368">
        <f t="shared" si="51"/>
        <v>1.8671355601509012E-5</v>
      </c>
      <c r="O425" s="1">
        <v>2650</v>
      </c>
      <c r="P425" s="309">
        <v>41623</v>
      </c>
      <c r="Q425" s="309">
        <v>11030</v>
      </c>
      <c r="R425" s="368">
        <f t="shared" si="52"/>
        <v>1.5491700274526972E-5</v>
      </c>
    </row>
    <row r="426" spans="2:18" x14ac:dyDescent="0.3">
      <c r="B426" s="54" t="s">
        <v>8</v>
      </c>
      <c r="C426" s="54" t="s">
        <v>27</v>
      </c>
      <c r="E426" s="1">
        <v>75667</v>
      </c>
      <c r="F426" s="309">
        <v>23694</v>
      </c>
      <c r="G426" s="309">
        <v>179282</v>
      </c>
      <c r="H426" s="368">
        <f t="shared" si="50"/>
        <v>4.9933347884809185E-4</v>
      </c>
      <c r="J426" s="1">
        <v>62120</v>
      </c>
      <c r="K426" s="309">
        <v>29176</v>
      </c>
      <c r="L426" s="309">
        <v>181240</v>
      </c>
      <c r="M426" s="368">
        <f t="shared" si="51"/>
        <v>5.2657200315616641E-4</v>
      </c>
      <c r="O426" s="1">
        <v>58230</v>
      </c>
      <c r="P426" s="309">
        <v>29121</v>
      </c>
      <c r="Q426" s="309">
        <v>169570</v>
      </c>
      <c r="R426" s="368">
        <f t="shared" si="52"/>
        <v>5.0880010544587383E-4</v>
      </c>
    </row>
    <row r="427" spans="2:18" x14ac:dyDescent="0.3">
      <c r="B427" s="54" t="s">
        <v>8</v>
      </c>
      <c r="C427" s="54" t="s">
        <v>1469</v>
      </c>
      <c r="E427" s="1">
        <v>15941</v>
      </c>
      <c r="F427" s="309">
        <v>674754</v>
      </c>
      <c r="G427" s="309">
        <v>1075625</v>
      </c>
      <c r="H427" s="368">
        <f t="shared" si="50"/>
        <v>3.4256729467576105E-3</v>
      </c>
      <c r="J427" s="1">
        <v>15770</v>
      </c>
      <c r="K427" s="309">
        <v>607533</v>
      </c>
      <c r="L427" s="309">
        <v>958080</v>
      </c>
      <c r="M427" s="368">
        <f t="shared" si="51"/>
        <v>3.5003246645386103E-3</v>
      </c>
      <c r="O427" s="1">
        <v>14080</v>
      </c>
      <c r="P427" s="309">
        <v>584872</v>
      </c>
      <c r="Q427" s="309">
        <v>823500</v>
      </c>
      <c r="R427" s="368">
        <f t="shared" si="52"/>
        <v>2.9569334757831994E-3</v>
      </c>
    </row>
    <row r="428" spans="2:18" x14ac:dyDescent="0.3">
      <c r="B428" s="54" t="s">
        <v>8</v>
      </c>
      <c r="C428" s="54" t="s">
        <v>26</v>
      </c>
      <c r="E428" s="1">
        <v>966400</v>
      </c>
      <c r="F428" s="309">
        <v>54287</v>
      </c>
      <c r="G428" s="309">
        <v>5246258</v>
      </c>
      <c r="H428" s="368">
        <f t="shared" si="50"/>
        <v>6.7959542841978943E-3</v>
      </c>
      <c r="J428" s="1">
        <v>1026150</v>
      </c>
      <c r="K428" s="309">
        <v>51244</v>
      </c>
      <c r="L428" s="309">
        <v>5258430</v>
      </c>
      <c r="M428" s="368">
        <f t="shared" si="51"/>
        <v>7.1725310585027385E-3</v>
      </c>
      <c r="O428" s="1">
        <v>1015640</v>
      </c>
      <c r="P428" s="309">
        <v>52949</v>
      </c>
      <c r="Q428" s="309">
        <v>5377710</v>
      </c>
      <c r="R428" s="368">
        <f t="shared" si="52"/>
        <v>7.0256687583328901E-3</v>
      </c>
    </row>
    <row r="429" spans="2:18" x14ac:dyDescent="0.3">
      <c r="B429" s="54" t="s">
        <v>1540</v>
      </c>
      <c r="C429" s="54" t="s">
        <v>25</v>
      </c>
      <c r="E429" s="1">
        <v>600</v>
      </c>
      <c r="F429" s="309">
        <v>150000</v>
      </c>
      <c r="G429" s="309">
        <v>9000</v>
      </c>
      <c r="H429" s="368">
        <f t="shared" si="50"/>
        <v>2.4356353785315797E-5</v>
      </c>
      <c r="J429" s="1">
        <v>600</v>
      </c>
      <c r="K429" s="309">
        <v>100333</v>
      </c>
      <c r="L429" s="309">
        <v>6020</v>
      </c>
      <c r="M429" s="368">
        <f t="shared" si="51"/>
        <v>1.6507528425607473E-5</v>
      </c>
      <c r="O429" s="1">
        <v>600</v>
      </c>
      <c r="P429" s="309">
        <v>136667</v>
      </c>
      <c r="Q429" s="309">
        <v>8200</v>
      </c>
      <c r="R429" s="368">
        <f t="shared" si="52"/>
        <v>2.2173141282959533E-5</v>
      </c>
    </row>
    <row r="430" spans="2:18" x14ac:dyDescent="0.3">
      <c r="B430" s="54" t="s">
        <v>9</v>
      </c>
      <c r="C430" s="54" t="s">
        <v>28</v>
      </c>
      <c r="E430" s="1">
        <v>199000</v>
      </c>
      <c r="F430" s="309">
        <v>209598</v>
      </c>
      <c r="G430" s="309">
        <v>4171000</v>
      </c>
      <c r="H430" s="368">
        <f t="shared" si="50"/>
        <v>1.475039116474273E-2</v>
      </c>
      <c r="J430" s="1">
        <v>173000</v>
      </c>
      <c r="K430" s="309">
        <v>286127</v>
      </c>
      <c r="L430" s="309">
        <v>4950000</v>
      </c>
      <c r="M430" s="368">
        <f t="shared" si="51"/>
        <v>1.7027861726951633E-2</v>
      </c>
      <c r="O430" s="1">
        <v>163000</v>
      </c>
      <c r="P430" s="309">
        <v>305276</v>
      </c>
      <c r="Q430" s="309">
        <v>4976000</v>
      </c>
      <c r="R430" s="368">
        <f t="shared" si="52"/>
        <v>1.6626659935676143E-2</v>
      </c>
    </row>
    <row r="431" spans="2:18" x14ac:dyDescent="0.3">
      <c r="B431" s="54" t="s">
        <v>9</v>
      </c>
      <c r="C431" s="54" t="s">
        <v>24</v>
      </c>
      <c r="E431" s="1">
        <v>9633200</v>
      </c>
      <c r="F431" s="309">
        <v>26886</v>
      </c>
      <c r="G431" s="309">
        <v>25899870</v>
      </c>
      <c r="H431" s="368">
        <f t="shared" si="50"/>
        <v>2.2849913476250965E-2</v>
      </c>
      <c r="J431" s="1">
        <v>9380070</v>
      </c>
      <c r="K431" s="309">
        <v>30653</v>
      </c>
      <c r="L431" s="309">
        <v>28752880</v>
      </c>
      <c r="M431" s="368">
        <f t="shared" si="51"/>
        <v>2.5655485855229223E-2</v>
      </c>
      <c r="O431" s="1">
        <v>9027130</v>
      </c>
      <c r="P431" s="309">
        <v>30702</v>
      </c>
      <c r="Q431" s="309">
        <v>27715100</v>
      </c>
      <c r="R431" s="368">
        <f t="shared" si="52"/>
        <v>2.419143687237648E-2</v>
      </c>
    </row>
    <row r="432" spans="2:18" x14ac:dyDescent="0.3">
      <c r="B432" s="54" t="s">
        <v>9</v>
      </c>
      <c r="C432" s="54" t="s">
        <v>25</v>
      </c>
      <c r="E432" s="1">
        <v>2179000</v>
      </c>
      <c r="F432" s="309">
        <v>223061</v>
      </c>
      <c r="G432" s="309">
        <v>48605000</v>
      </c>
      <c r="H432" s="368">
        <f t="shared" si="50"/>
        <v>0.1315378417483638</v>
      </c>
      <c r="J432" s="1">
        <v>2142000</v>
      </c>
      <c r="K432" s="309">
        <v>239542</v>
      </c>
      <c r="L432" s="309">
        <v>51310000</v>
      </c>
      <c r="M432" s="368">
        <f t="shared" si="51"/>
        <v>0.14069788762756139</v>
      </c>
      <c r="O432" s="1">
        <v>2173000</v>
      </c>
      <c r="P432" s="309">
        <v>230971</v>
      </c>
      <c r="Q432" s="309">
        <v>50190000</v>
      </c>
      <c r="R432" s="368">
        <f t="shared" si="52"/>
        <v>0.13571584890143157</v>
      </c>
    </row>
    <row r="433" spans="2:18" x14ac:dyDescent="0.3">
      <c r="B433" s="54" t="s">
        <v>9</v>
      </c>
      <c r="C433" s="54" t="s">
        <v>1468</v>
      </c>
      <c r="E433" s="1">
        <v>43774070</v>
      </c>
      <c r="F433" s="309">
        <v>38493</v>
      </c>
      <c r="G433" s="309">
        <v>168500000</v>
      </c>
      <c r="H433" s="368">
        <f t="shared" si="50"/>
        <v>0.23768287761410153</v>
      </c>
      <c r="J433" s="1">
        <v>44156450</v>
      </c>
      <c r="K433" s="309">
        <v>39568</v>
      </c>
      <c r="L433" s="309">
        <v>174716730</v>
      </c>
      <c r="M433" s="368">
        <f t="shared" si="51"/>
        <v>0.2430848133653381</v>
      </c>
      <c r="O433" s="1">
        <v>43780000</v>
      </c>
      <c r="P433" s="309">
        <v>40577</v>
      </c>
      <c r="Q433" s="309">
        <v>177645000</v>
      </c>
      <c r="R433" s="368">
        <f t="shared" si="52"/>
        <v>0.24950345378679459</v>
      </c>
    </row>
    <row r="434" spans="2:18" x14ac:dyDescent="0.3">
      <c r="B434" s="54" t="s">
        <v>9</v>
      </c>
      <c r="C434" s="54" t="s">
        <v>27</v>
      </c>
      <c r="E434" s="1">
        <v>11183400</v>
      </c>
      <c r="F434" s="309">
        <v>11766</v>
      </c>
      <c r="G434" s="309">
        <v>13158730</v>
      </c>
      <c r="H434" s="368">
        <f t="shared" si="50"/>
        <v>3.6649493134406977E-2</v>
      </c>
      <c r="J434" s="1">
        <v>10328830</v>
      </c>
      <c r="K434" s="309">
        <v>10585</v>
      </c>
      <c r="L434" s="309">
        <v>10932970</v>
      </c>
      <c r="M434" s="368">
        <f t="shared" si="51"/>
        <v>3.1764488597143412E-2</v>
      </c>
      <c r="O434" s="1">
        <v>11131260</v>
      </c>
      <c r="P434" s="309">
        <v>11919</v>
      </c>
      <c r="Q434" s="309">
        <v>13267520</v>
      </c>
      <c r="R434" s="368">
        <f t="shared" si="52"/>
        <v>3.9809610043080972E-2</v>
      </c>
    </row>
    <row r="435" spans="2:18" x14ac:dyDescent="0.3">
      <c r="B435" s="54" t="s">
        <v>9</v>
      </c>
      <c r="C435" s="54" t="s">
        <v>1470</v>
      </c>
      <c r="E435" s="1">
        <v>4435690</v>
      </c>
      <c r="F435" s="309">
        <v>690014</v>
      </c>
      <c r="G435" s="309">
        <v>306069000</v>
      </c>
      <c r="H435" s="368">
        <f t="shared" si="50"/>
        <v>0.16915717789962711</v>
      </c>
      <c r="J435" s="1">
        <v>4737060</v>
      </c>
      <c r="K435" s="309">
        <v>801984</v>
      </c>
      <c r="L435" s="309">
        <v>379904850</v>
      </c>
      <c r="M435" s="368">
        <f t="shared" si="51"/>
        <v>0.19949331204531442</v>
      </c>
      <c r="O435" s="1">
        <v>5061090</v>
      </c>
      <c r="P435" s="309">
        <v>801045</v>
      </c>
      <c r="Q435" s="309">
        <v>405416180</v>
      </c>
      <c r="R435" s="368">
        <f t="shared" si="52"/>
        <v>0.21055285894364362</v>
      </c>
    </row>
    <row r="436" spans="2:18" x14ac:dyDescent="0.3">
      <c r="B436" s="54" t="s">
        <v>9</v>
      </c>
      <c r="C436" s="54" t="s">
        <v>26</v>
      </c>
      <c r="E436" s="1">
        <v>30785230</v>
      </c>
      <c r="F436" s="309">
        <v>31999</v>
      </c>
      <c r="G436" s="309">
        <v>98510220</v>
      </c>
      <c r="H436" s="368">
        <f t="shared" si="50"/>
        <v>0.12760923150296402</v>
      </c>
      <c r="J436" s="1">
        <v>29650590</v>
      </c>
      <c r="K436" s="309">
        <v>33682</v>
      </c>
      <c r="L436" s="309">
        <v>99869520</v>
      </c>
      <c r="M436" s="368">
        <f t="shared" si="51"/>
        <v>0.13622264326001496</v>
      </c>
      <c r="O436" s="1">
        <v>29318790</v>
      </c>
      <c r="P436" s="309">
        <v>35334</v>
      </c>
      <c r="Q436" s="309">
        <v>103596230</v>
      </c>
      <c r="R436" s="368">
        <f t="shared" si="52"/>
        <v>0.13534251504675196</v>
      </c>
    </row>
    <row r="437" spans="2:18" x14ac:dyDescent="0.3">
      <c r="B437" s="54" t="s">
        <v>1541</v>
      </c>
      <c r="C437" s="54" t="s">
        <v>28</v>
      </c>
      <c r="E437" s="1">
        <v>772975</v>
      </c>
      <c r="F437" s="309">
        <v>246499</v>
      </c>
      <c r="G437" s="309">
        <v>19053748</v>
      </c>
      <c r="H437" s="368">
        <f t="shared" si="50"/>
        <v>6.738197941846906E-2</v>
      </c>
      <c r="J437" s="1">
        <v>697384</v>
      </c>
      <c r="K437" s="309">
        <v>231136</v>
      </c>
      <c r="L437" s="309">
        <v>16119020</v>
      </c>
      <c r="M437" s="368">
        <f t="shared" si="51"/>
        <v>5.544897853211473E-2</v>
      </c>
      <c r="O437" s="1">
        <v>640526</v>
      </c>
      <c r="P437" s="309">
        <v>227730</v>
      </c>
      <c r="Q437" s="309">
        <v>14586693</v>
      </c>
      <c r="R437" s="368">
        <f t="shared" si="52"/>
        <v>4.8739546643309414E-2</v>
      </c>
    </row>
    <row r="438" spans="2:18" x14ac:dyDescent="0.3">
      <c r="B438" s="54" t="s">
        <v>1541</v>
      </c>
      <c r="C438" s="54" t="s">
        <v>24</v>
      </c>
      <c r="E438" s="1">
        <v>5533169</v>
      </c>
      <c r="F438" s="309">
        <v>52274</v>
      </c>
      <c r="G438" s="309">
        <v>28924015</v>
      </c>
      <c r="H438" s="368">
        <f t="shared" si="50"/>
        <v>2.551793658175833E-2</v>
      </c>
      <c r="J438" s="1">
        <v>5680360</v>
      </c>
      <c r="K438" s="309">
        <v>53261</v>
      </c>
      <c r="L438" s="309">
        <v>30253938</v>
      </c>
      <c r="M438" s="368">
        <f t="shared" si="51"/>
        <v>2.6994842896571815E-2</v>
      </c>
      <c r="O438" s="1">
        <v>5644775</v>
      </c>
      <c r="P438" s="309">
        <v>54375</v>
      </c>
      <c r="Q438" s="309">
        <v>30693355</v>
      </c>
      <c r="R438" s="368">
        <f t="shared" si="52"/>
        <v>2.6791040259062426E-2</v>
      </c>
    </row>
    <row r="439" spans="2:18" x14ac:dyDescent="0.3">
      <c r="B439" s="54" t="s">
        <v>1541</v>
      </c>
      <c r="C439" s="54" t="s">
        <v>1472</v>
      </c>
      <c r="E439" s="1">
        <v>14048722</v>
      </c>
      <c r="F439" s="309">
        <v>168924</v>
      </c>
      <c r="G439" s="309">
        <v>237316848</v>
      </c>
      <c r="H439" s="368">
        <f t="shared" si="50"/>
        <v>0.59285462144996448</v>
      </c>
      <c r="J439" s="1">
        <v>14327093</v>
      </c>
      <c r="K439" s="309">
        <v>168138</v>
      </c>
      <c r="L439" s="309">
        <v>240893565</v>
      </c>
      <c r="M439" s="368">
        <f t="shared" si="51"/>
        <v>0.59688681537297616</v>
      </c>
      <c r="O439" s="1">
        <v>14677560</v>
      </c>
      <c r="P439" s="309">
        <v>167353</v>
      </c>
      <c r="Q439" s="309">
        <v>245633087</v>
      </c>
      <c r="R439" s="368">
        <f t="shared" si="52"/>
        <v>0.59808878859925174</v>
      </c>
    </row>
    <row r="440" spans="2:18" x14ac:dyDescent="0.3">
      <c r="B440" s="54" t="s">
        <v>1541</v>
      </c>
      <c r="C440" s="54" t="s">
        <v>25</v>
      </c>
      <c r="E440" s="1">
        <v>75611</v>
      </c>
      <c r="F440" s="309">
        <v>154044</v>
      </c>
      <c r="G440" s="309">
        <v>1164743</v>
      </c>
      <c r="H440" s="368">
        <f t="shared" si="50"/>
        <v>3.1520991752188973E-3</v>
      </c>
      <c r="J440" s="1">
        <v>68683</v>
      </c>
      <c r="K440" s="309">
        <v>187057</v>
      </c>
      <c r="L440" s="309">
        <v>1284762</v>
      </c>
      <c r="M440" s="368">
        <f t="shared" si="51"/>
        <v>3.5229643247741377E-3</v>
      </c>
      <c r="O440" s="1">
        <v>68223</v>
      </c>
      <c r="P440" s="309">
        <v>192700</v>
      </c>
      <c r="Q440" s="309">
        <v>1314654</v>
      </c>
      <c r="R440" s="368">
        <f t="shared" si="52"/>
        <v>3.5548791317326685E-3</v>
      </c>
    </row>
    <row r="441" spans="2:18" x14ac:dyDescent="0.3">
      <c r="B441" s="54" t="s">
        <v>1541</v>
      </c>
      <c r="C441" s="54" t="s">
        <v>1468</v>
      </c>
      <c r="E441" s="1">
        <v>11471000</v>
      </c>
      <c r="F441" s="309">
        <v>51808</v>
      </c>
      <c r="G441" s="309">
        <v>59429000</v>
      </c>
      <c r="H441" s="368">
        <f t="shared" si="50"/>
        <v>8.3829410882661368E-2</v>
      </c>
      <c r="J441" s="1">
        <v>11377934</v>
      </c>
      <c r="K441" s="309">
        <v>52031</v>
      </c>
      <c r="L441" s="309">
        <v>59200534</v>
      </c>
      <c r="M441" s="368">
        <f t="shared" si="51"/>
        <v>8.2366186446589024E-2</v>
      </c>
      <c r="O441" s="1">
        <v>10677887</v>
      </c>
      <c r="P441" s="309">
        <v>51137</v>
      </c>
      <c r="Q441" s="309">
        <v>54604033</v>
      </c>
      <c r="R441" s="368">
        <f t="shared" si="52"/>
        <v>7.6691687490152302E-2</v>
      </c>
    </row>
    <row r="442" spans="2:18" x14ac:dyDescent="0.3">
      <c r="B442" s="54" t="s">
        <v>1541</v>
      </c>
      <c r="C442" s="54" t="s">
        <v>27</v>
      </c>
      <c r="E442" s="1">
        <v>355799</v>
      </c>
      <c r="F442" s="309">
        <v>15141</v>
      </c>
      <c r="G442" s="309">
        <v>538729</v>
      </c>
      <c r="H442" s="368">
        <f t="shared" si="50"/>
        <v>1.5004597546120285E-3</v>
      </c>
      <c r="J442" s="1">
        <v>723804</v>
      </c>
      <c r="K442" s="309">
        <v>13174</v>
      </c>
      <c r="L442" s="309">
        <v>953571</v>
      </c>
      <c r="M442" s="368">
        <f t="shared" si="51"/>
        <v>2.7704910153477638E-3</v>
      </c>
      <c r="O442" s="1">
        <v>620000</v>
      </c>
      <c r="P442" s="309">
        <v>15161</v>
      </c>
      <c r="Q442" s="309">
        <v>940000</v>
      </c>
      <c r="R442" s="368">
        <f t="shared" si="52"/>
        <v>2.8204994935373084E-3</v>
      </c>
    </row>
    <row r="443" spans="2:18" x14ac:dyDescent="0.3">
      <c r="B443" s="54" t="s">
        <v>1541</v>
      </c>
      <c r="C443" s="54" t="s">
        <v>1470</v>
      </c>
      <c r="E443" s="1">
        <v>420146</v>
      </c>
      <c r="F443" s="309">
        <v>666435</v>
      </c>
      <c r="G443" s="309">
        <v>28000000</v>
      </c>
      <c r="H443" s="368">
        <f t="shared" si="50"/>
        <v>1.5474945130639036E-2</v>
      </c>
      <c r="J443" s="1">
        <v>415663</v>
      </c>
      <c r="K443" s="309">
        <v>709710</v>
      </c>
      <c r="L443" s="309">
        <v>29500000</v>
      </c>
      <c r="M443" s="368">
        <f t="shared" si="51"/>
        <v>1.5490859633239153E-2</v>
      </c>
      <c r="O443" s="1">
        <v>443569</v>
      </c>
      <c r="P443" s="309">
        <v>656042</v>
      </c>
      <c r="Q443" s="309">
        <v>29100000</v>
      </c>
      <c r="R443" s="368">
        <f t="shared" si="52"/>
        <v>1.5113082549542125E-2</v>
      </c>
    </row>
    <row r="444" spans="2:18" x14ac:dyDescent="0.3">
      <c r="B444" s="54" t="s">
        <v>1542</v>
      </c>
      <c r="C444" s="54" t="s">
        <v>24</v>
      </c>
      <c r="E444" s="1">
        <v>103627</v>
      </c>
      <c r="F444" s="309">
        <v>66924</v>
      </c>
      <c r="G444" s="309">
        <v>693510</v>
      </c>
      <c r="H444" s="368">
        <f t="shared" si="50"/>
        <v>6.1184258820275194E-4</v>
      </c>
      <c r="J444" s="1">
        <v>90984</v>
      </c>
      <c r="K444" s="309">
        <v>66667</v>
      </c>
      <c r="L444" s="309">
        <v>606559</v>
      </c>
      <c r="M444" s="368">
        <f t="shared" si="51"/>
        <v>5.4121763958469486E-4</v>
      </c>
      <c r="O444" s="1">
        <v>204305</v>
      </c>
      <c r="P444" s="309">
        <v>68525</v>
      </c>
      <c r="Q444" s="309">
        <v>1400000</v>
      </c>
      <c r="R444" s="368">
        <f t="shared" si="52"/>
        <v>1.2220057521469189E-3</v>
      </c>
    </row>
    <row r="445" spans="2:18" x14ac:dyDescent="0.3">
      <c r="B445" s="54" t="s">
        <v>1542</v>
      </c>
      <c r="C445" s="54" t="s">
        <v>25</v>
      </c>
      <c r="E445" s="1">
        <v>122578</v>
      </c>
      <c r="F445" s="309">
        <v>335905</v>
      </c>
      <c r="G445" s="309">
        <v>4117462</v>
      </c>
      <c r="H445" s="368">
        <f t="shared" si="50"/>
        <v>1.1142929018843771E-2</v>
      </c>
      <c r="J445" s="1">
        <v>106426</v>
      </c>
      <c r="K445" s="309">
        <v>332088</v>
      </c>
      <c r="L445" s="309">
        <v>3534277</v>
      </c>
      <c r="M445" s="368">
        <f t="shared" si="51"/>
        <v>9.6913917012409808E-3</v>
      </c>
      <c r="O445" s="1">
        <v>104192</v>
      </c>
      <c r="P445" s="309">
        <v>334324</v>
      </c>
      <c r="Q445" s="309">
        <v>3483387</v>
      </c>
      <c r="R445" s="368">
        <f t="shared" si="52"/>
        <v>9.419223426124947E-3</v>
      </c>
    </row>
    <row r="446" spans="2:18" x14ac:dyDescent="0.3">
      <c r="B446" s="54" t="s">
        <v>1542</v>
      </c>
      <c r="C446" s="54" t="s">
        <v>1468</v>
      </c>
      <c r="E446" s="1">
        <v>396877</v>
      </c>
      <c r="F446" s="309">
        <v>49292</v>
      </c>
      <c r="G446" s="309">
        <v>1956281</v>
      </c>
      <c r="H446" s="368">
        <f t="shared" si="50"/>
        <v>2.7594925667762146E-3</v>
      </c>
      <c r="J446" s="1">
        <v>427373</v>
      </c>
      <c r="K446" s="309">
        <v>46564</v>
      </c>
      <c r="L446" s="309">
        <v>1990000</v>
      </c>
      <c r="M446" s="368">
        <f t="shared" si="51"/>
        <v>2.7687032523847194E-3</v>
      </c>
      <c r="O446" s="1">
        <v>437231</v>
      </c>
      <c r="P446" s="309">
        <v>45582</v>
      </c>
      <c r="Q446" s="309">
        <v>1993000</v>
      </c>
      <c r="R446" s="368">
        <f t="shared" si="52"/>
        <v>2.7991802943909574E-3</v>
      </c>
    </row>
    <row r="447" spans="2:18" x14ac:dyDescent="0.3">
      <c r="B447" s="54" t="s">
        <v>1542</v>
      </c>
      <c r="C447" s="54" t="s">
        <v>27</v>
      </c>
      <c r="E447" s="1">
        <v>83000</v>
      </c>
      <c r="F447" s="309">
        <v>24096</v>
      </c>
      <c r="G447" s="309">
        <v>200000</v>
      </c>
      <c r="H447" s="368">
        <f t="shared" si="50"/>
        <v>5.5703693493835613E-4</v>
      </c>
      <c r="J447" s="1">
        <v>72000</v>
      </c>
      <c r="K447" s="309">
        <v>23611</v>
      </c>
      <c r="L447" s="309">
        <v>170000</v>
      </c>
      <c r="M447" s="368">
        <f t="shared" si="51"/>
        <v>4.9391547415884071E-4</v>
      </c>
      <c r="O447" s="1">
        <v>67000</v>
      </c>
      <c r="P447" s="309">
        <v>23881</v>
      </c>
      <c r="Q447" s="309">
        <v>160000</v>
      </c>
      <c r="R447" s="368">
        <f t="shared" si="52"/>
        <v>4.8008502017656316E-4</v>
      </c>
    </row>
    <row r="448" spans="2:18" x14ac:dyDescent="0.3">
      <c r="B448" s="54" t="s">
        <v>1542</v>
      </c>
      <c r="C448" s="54" t="s">
        <v>1469</v>
      </c>
      <c r="E448" s="1">
        <v>134759</v>
      </c>
      <c r="F448" s="309">
        <v>622478</v>
      </c>
      <c r="G448" s="309">
        <v>8388452</v>
      </c>
      <c r="H448" s="368">
        <f t="shared" si="50"/>
        <v>2.6715716984613384E-2</v>
      </c>
      <c r="J448" s="1">
        <v>101058</v>
      </c>
      <c r="K448" s="309">
        <v>647549</v>
      </c>
      <c r="L448" s="309">
        <v>6544000</v>
      </c>
      <c r="M448" s="368">
        <f t="shared" si="51"/>
        <v>2.3908363189650828E-2</v>
      </c>
      <c r="O448" s="1">
        <v>78999</v>
      </c>
      <c r="P448" s="309">
        <v>670523</v>
      </c>
      <c r="Q448" s="309">
        <v>5297063</v>
      </c>
      <c r="R448" s="368">
        <f t="shared" si="52"/>
        <v>1.9020112820926027E-2</v>
      </c>
    </row>
    <row r="449" spans="2:18" x14ac:dyDescent="0.3">
      <c r="B449" s="54" t="s">
        <v>1542</v>
      </c>
      <c r="C449" s="54" t="s">
        <v>1470</v>
      </c>
      <c r="E449" s="1">
        <v>89271</v>
      </c>
      <c r="F449" s="309">
        <v>854916</v>
      </c>
      <c r="G449" s="309">
        <v>7631923</v>
      </c>
      <c r="H449" s="368">
        <f t="shared" si="50"/>
        <v>4.2179853452236453E-3</v>
      </c>
      <c r="J449" s="1">
        <v>106446</v>
      </c>
      <c r="K449" s="309">
        <v>834361</v>
      </c>
      <c r="L449" s="309">
        <v>8881442</v>
      </c>
      <c r="M449" s="368">
        <f t="shared" si="51"/>
        <v>4.6637685207713492E-3</v>
      </c>
      <c r="O449" s="1">
        <v>113150</v>
      </c>
      <c r="P449" s="309">
        <v>820587</v>
      </c>
      <c r="Q449" s="309">
        <v>9284942</v>
      </c>
      <c r="R449" s="368">
        <f t="shared" si="52"/>
        <v>4.8221338458319853E-3</v>
      </c>
    </row>
    <row r="450" spans="2:18" x14ac:dyDescent="0.3">
      <c r="B450" s="54" t="s">
        <v>1542</v>
      </c>
      <c r="C450" s="54" t="s">
        <v>26</v>
      </c>
      <c r="E450" s="1">
        <v>6526587</v>
      </c>
      <c r="F450" s="309">
        <v>19466</v>
      </c>
      <c r="G450" s="309">
        <v>12704746</v>
      </c>
      <c r="H450" s="368">
        <f t="shared" si="50"/>
        <v>1.6457610931133401E-2</v>
      </c>
      <c r="J450" s="1">
        <v>6684622</v>
      </c>
      <c r="K450" s="309">
        <v>21692</v>
      </c>
      <c r="L450" s="309">
        <v>14500000</v>
      </c>
      <c r="M450" s="368">
        <f t="shared" si="51"/>
        <v>1.9778089724174271E-2</v>
      </c>
      <c r="O450" s="1">
        <v>8035937</v>
      </c>
      <c r="P450" s="309">
        <v>20906</v>
      </c>
      <c r="Q450" s="309">
        <v>16800000</v>
      </c>
      <c r="R450" s="368">
        <f t="shared" si="52"/>
        <v>2.1948233567818377E-2</v>
      </c>
    </row>
    <row r="451" spans="2:18" x14ac:dyDescent="0.3">
      <c r="B451" s="54" t="s">
        <v>1543</v>
      </c>
      <c r="C451" s="54" t="s">
        <v>24</v>
      </c>
      <c r="E451" s="1">
        <v>52012</v>
      </c>
      <c r="F451" s="309">
        <v>35625</v>
      </c>
      <c r="G451" s="309">
        <v>185291</v>
      </c>
      <c r="H451" s="368">
        <f t="shared" ref="H451:H514" si="53">G451/(VLOOKUP($C451,$W$5:$Z$13,2,FALSE)*10^6)</f>
        <v>1.6347121888750862E-4</v>
      </c>
      <c r="J451" s="1">
        <v>50000</v>
      </c>
      <c r="K451" s="309">
        <v>45000</v>
      </c>
      <c r="L451" s="309">
        <v>225000</v>
      </c>
      <c r="M451" s="368">
        <f t="shared" ref="M451:M514" si="54">L451/(VLOOKUP($C451,$W$5:$Z$13,3,FALSE)*10^6)</f>
        <v>2.0076195210450484E-4</v>
      </c>
      <c r="O451" s="1">
        <v>100594</v>
      </c>
      <c r="P451" s="309">
        <v>47027</v>
      </c>
      <c r="Q451" s="309">
        <v>473064</v>
      </c>
      <c r="R451" s="368">
        <f t="shared" ref="R451:R514" si="55">Q451/(VLOOKUP($C451,$W$5:$Z$13,4,FALSE)*10^6)</f>
        <v>4.1291923509545009E-4</v>
      </c>
    </row>
    <row r="452" spans="2:18" x14ac:dyDescent="0.3">
      <c r="B452" s="54" t="s">
        <v>1543</v>
      </c>
      <c r="C452" s="54" t="s">
        <v>25</v>
      </c>
      <c r="E452" s="1">
        <v>9610</v>
      </c>
      <c r="F452" s="309">
        <v>277621</v>
      </c>
      <c r="G452" s="309">
        <v>266794</v>
      </c>
      <c r="H452" s="368">
        <f t="shared" si="53"/>
        <v>7.2201433908883805E-4</v>
      </c>
      <c r="J452" s="1">
        <v>6137</v>
      </c>
      <c r="K452" s="309">
        <v>269821</v>
      </c>
      <c r="L452" s="309">
        <v>165589</v>
      </c>
      <c r="M452" s="368">
        <f t="shared" si="54"/>
        <v>4.5406397416410566E-4</v>
      </c>
      <c r="O452" s="1">
        <v>14033</v>
      </c>
      <c r="P452" s="309">
        <v>279590</v>
      </c>
      <c r="Q452" s="309">
        <v>392348</v>
      </c>
      <c r="R452" s="368">
        <f t="shared" si="55"/>
        <v>1.0609253214739765E-3</v>
      </c>
    </row>
    <row r="453" spans="2:18" x14ac:dyDescent="0.3">
      <c r="B453" s="54" t="s">
        <v>1543</v>
      </c>
      <c r="C453" s="54" t="s">
        <v>1468</v>
      </c>
      <c r="E453" s="1">
        <v>54283</v>
      </c>
      <c r="F453" s="309">
        <v>48975</v>
      </c>
      <c r="G453" s="309">
        <v>265852</v>
      </c>
      <c r="H453" s="368">
        <f t="shared" si="53"/>
        <v>3.7500574705913426E-4</v>
      </c>
      <c r="J453" s="1">
        <v>5423</v>
      </c>
      <c r="K453" s="309">
        <v>33553</v>
      </c>
      <c r="L453" s="309">
        <v>18196</v>
      </c>
      <c r="M453" s="368">
        <f t="shared" si="54"/>
        <v>2.5316243407232337E-5</v>
      </c>
      <c r="O453" s="1">
        <v>127673</v>
      </c>
      <c r="P453" s="309">
        <v>45014</v>
      </c>
      <c r="Q453" s="309">
        <v>574705</v>
      </c>
      <c r="R453" s="368">
        <f t="shared" si="55"/>
        <v>8.0717657355140748E-4</v>
      </c>
    </row>
    <row r="454" spans="2:18" x14ac:dyDescent="0.3">
      <c r="B454" s="54" t="s">
        <v>1543</v>
      </c>
      <c r="C454" s="54" t="s">
        <v>27</v>
      </c>
      <c r="E454" s="1">
        <v>53</v>
      </c>
      <c r="F454" s="309">
        <v>8302</v>
      </c>
      <c r="G454" s="309">
        <v>44</v>
      </c>
      <c r="H454" s="368">
        <f t="shared" si="53"/>
        <v>1.2254812568643836E-7</v>
      </c>
      <c r="J454" s="1">
        <v>54</v>
      </c>
      <c r="K454" s="309">
        <v>8148</v>
      </c>
      <c r="L454" s="309">
        <v>44</v>
      </c>
      <c r="M454" s="368">
        <f t="shared" si="54"/>
        <v>1.2783694625287642E-7</v>
      </c>
      <c r="O454" s="1">
        <v>55</v>
      </c>
      <c r="P454" s="309">
        <v>8000</v>
      </c>
      <c r="Q454" s="309">
        <v>44</v>
      </c>
      <c r="R454" s="368">
        <f t="shared" si="55"/>
        <v>1.3202338054855486E-7</v>
      </c>
    </row>
    <row r="455" spans="2:18" x14ac:dyDescent="0.3">
      <c r="B455" s="54" t="s">
        <v>1543</v>
      </c>
      <c r="C455" s="54" t="s">
        <v>1469</v>
      </c>
      <c r="E455" s="1">
        <v>9860</v>
      </c>
      <c r="F455" s="309">
        <v>35152</v>
      </c>
      <c r="G455" s="309">
        <v>34660</v>
      </c>
      <c r="H455" s="368">
        <f t="shared" si="53"/>
        <v>1.1038589130470079E-4</v>
      </c>
      <c r="J455" s="1">
        <v>13381</v>
      </c>
      <c r="K455" s="309">
        <v>27165</v>
      </c>
      <c r="L455" s="309">
        <v>36350</v>
      </c>
      <c r="M455" s="368">
        <f t="shared" si="54"/>
        <v>1.328039428398239E-4</v>
      </c>
      <c r="O455" s="1">
        <v>19427</v>
      </c>
      <c r="P455" s="309">
        <v>19582</v>
      </c>
      <c r="Q455" s="309">
        <v>38041</v>
      </c>
      <c r="R455" s="368">
        <f t="shared" si="55"/>
        <v>1.3659345033669544E-4</v>
      </c>
    </row>
    <row r="456" spans="2:18" x14ac:dyDescent="0.3">
      <c r="B456" s="54" t="s">
        <v>1543</v>
      </c>
      <c r="C456" s="54" t="s">
        <v>1470</v>
      </c>
      <c r="E456" s="1">
        <v>350</v>
      </c>
      <c r="F456" s="309">
        <v>200000</v>
      </c>
      <c r="G456" s="309">
        <v>7000</v>
      </c>
      <c r="H456" s="368">
        <f t="shared" si="53"/>
        <v>3.8687362826597591E-6</v>
      </c>
      <c r="J456" s="1">
        <v>0</v>
      </c>
      <c r="K456" s="309"/>
      <c r="L456" s="309">
        <v>0</v>
      </c>
      <c r="M456" s="368">
        <f t="shared" si="54"/>
        <v>0</v>
      </c>
      <c r="O456" s="1">
        <v>0</v>
      </c>
      <c r="P456" s="309"/>
      <c r="Q456" s="309">
        <v>0</v>
      </c>
      <c r="R456" s="368">
        <f t="shared" si="55"/>
        <v>0</v>
      </c>
    </row>
    <row r="457" spans="2:18" x14ac:dyDescent="0.3">
      <c r="B457" s="54" t="s">
        <v>1543</v>
      </c>
      <c r="C457" s="54" t="s">
        <v>26</v>
      </c>
      <c r="E457" s="1">
        <v>1047531</v>
      </c>
      <c r="F457" s="309">
        <v>28392</v>
      </c>
      <c r="G457" s="309">
        <v>2974136</v>
      </c>
      <c r="H457" s="368">
        <f t="shared" si="53"/>
        <v>3.8526683763907888E-3</v>
      </c>
      <c r="J457" s="1">
        <v>783721</v>
      </c>
      <c r="K457" s="309">
        <v>27789</v>
      </c>
      <c r="L457" s="309">
        <v>2177885</v>
      </c>
      <c r="M457" s="368">
        <f t="shared" si="54"/>
        <v>2.9706486164781574E-3</v>
      </c>
      <c r="O457" s="1">
        <v>1543316</v>
      </c>
      <c r="P457" s="309">
        <v>28144</v>
      </c>
      <c r="Q457" s="309">
        <v>4343473</v>
      </c>
      <c r="R457" s="368">
        <f t="shared" si="55"/>
        <v>5.6744976130662372E-3</v>
      </c>
    </row>
    <row r="458" spans="2:18" x14ac:dyDescent="0.3">
      <c r="B458" s="54" t="s">
        <v>1544</v>
      </c>
      <c r="C458" s="54" t="s">
        <v>24</v>
      </c>
      <c r="E458" s="1"/>
      <c r="F458" s="309"/>
      <c r="G458" s="309"/>
      <c r="H458" s="368">
        <f t="shared" si="53"/>
        <v>0</v>
      </c>
      <c r="J458" s="1">
        <v>0</v>
      </c>
      <c r="K458" s="309"/>
      <c r="L458" s="309">
        <v>0</v>
      </c>
      <c r="M458" s="368">
        <f t="shared" si="54"/>
        <v>0</v>
      </c>
      <c r="O458" s="1">
        <v>0</v>
      </c>
      <c r="P458" s="309"/>
      <c r="Q458" s="309">
        <v>0</v>
      </c>
      <c r="R458" s="368">
        <f t="shared" si="55"/>
        <v>0</v>
      </c>
    </row>
    <row r="459" spans="2:18" x14ac:dyDescent="0.3">
      <c r="B459" s="54" t="s">
        <v>1544</v>
      </c>
      <c r="C459" s="54" t="s">
        <v>25</v>
      </c>
      <c r="E459" s="1">
        <v>9179</v>
      </c>
      <c r="F459" s="309">
        <v>449314</v>
      </c>
      <c r="G459" s="309">
        <v>412425</v>
      </c>
      <c r="H459" s="368">
        <f t="shared" si="53"/>
        <v>1.1161299122120964E-3</v>
      </c>
      <c r="J459" s="1">
        <v>8230</v>
      </c>
      <c r="K459" s="309">
        <v>331725</v>
      </c>
      <c r="L459" s="309">
        <v>273010</v>
      </c>
      <c r="M459" s="368">
        <f t="shared" si="54"/>
        <v>7.4862464044436815E-4</v>
      </c>
      <c r="O459" s="1">
        <v>8670</v>
      </c>
      <c r="P459" s="309">
        <v>441027</v>
      </c>
      <c r="Q459" s="309">
        <v>382370</v>
      </c>
      <c r="R459" s="368">
        <f t="shared" si="55"/>
        <v>1.0339443941908826E-3</v>
      </c>
    </row>
    <row r="460" spans="2:18" x14ac:dyDescent="0.3">
      <c r="B460" s="54" t="s">
        <v>1544</v>
      </c>
      <c r="C460" s="54" t="s">
        <v>1468</v>
      </c>
      <c r="E460" s="1"/>
      <c r="F460" s="309"/>
      <c r="G460" s="309"/>
      <c r="H460" s="368">
        <f t="shared" si="53"/>
        <v>0</v>
      </c>
      <c r="J460" s="1">
        <v>0</v>
      </c>
      <c r="K460" s="309"/>
      <c r="L460" s="309">
        <v>0</v>
      </c>
      <c r="M460" s="368">
        <f t="shared" si="54"/>
        <v>0</v>
      </c>
      <c r="O460" s="1">
        <v>0</v>
      </c>
      <c r="P460" s="309"/>
      <c r="Q460" s="309">
        <v>0</v>
      </c>
      <c r="R460" s="368">
        <f t="shared" si="55"/>
        <v>0</v>
      </c>
    </row>
    <row r="461" spans="2:18" x14ac:dyDescent="0.3">
      <c r="B461" s="54" t="s">
        <v>1544</v>
      </c>
      <c r="C461" s="54" t="s">
        <v>27</v>
      </c>
      <c r="E461" s="1"/>
      <c r="F461" s="309"/>
      <c r="G461" s="309"/>
      <c r="H461" s="368">
        <f t="shared" si="53"/>
        <v>0</v>
      </c>
      <c r="J461" s="1"/>
      <c r="K461" s="309"/>
      <c r="L461" s="309">
        <v>0</v>
      </c>
      <c r="M461" s="368">
        <f t="shared" si="54"/>
        <v>0</v>
      </c>
      <c r="O461" s="1"/>
      <c r="P461" s="309"/>
      <c r="Q461" s="309">
        <v>0</v>
      </c>
      <c r="R461" s="368">
        <f t="shared" si="55"/>
        <v>0</v>
      </c>
    </row>
    <row r="462" spans="2:18" x14ac:dyDescent="0.3">
      <c r="B462" s="54" t="s">
        <v>1544</v>
      </c>
      <c r="C462" s="54" t="s">
        <v>1469</v>
      </c>
      <c r="E462" s="1">
        <v>1310</v>
      </c>
      <c r="F462" s="309">
        <v>572519</v>
      </c>
      <c r="G462" s="309">
        <v>75000</v>
      </c>
      <c r="H462" s="368">
        <f t="shared" si="53"/>
        <v>2.3886156514288975E-4</v>
      </c>
      <c r="J462" s="1">
        <v>0</v>
      </c>
      <c r="K462" s="309"/>
      <c r="L462" s="309">
        <v>0</v>
      </c>
      <c r="M462" s="368">
        <f t="shared" si="54"/>
        <v>0</v>
      </c>
      <c r="O462" s="1">
        <v>0</v>
      </c>
      <c r="P462" s="309"/>
      <c r="Q462" s="309">
        <v>0</v>
      </c>
      <c r="R462" s="368">
        <f t="shared" si="55"/>
        <v>0</v>
      </c>
    </row>
    <row r="463" spans="2:18" x14ac:dyDescent="0.3">
      <c r="B463" s="54" t="s">
        <v>1544</v>
      </c>
      <c r="C463" s="54" t="s">
        <v>26</v>
      </c>
      <c r="E463" s="1">
        <v>67047</v>
      </c>
      <c r="F463" s="309">
        <v>101672</v>
      </c>
      <c r="G463" s="309">
        <v>681679</v>
      </c>
      <c r="H463" s="368">
        <f t="shared" si="53"/>
        <v>8.8304069691153887E-4</v>
      </c>
      <c r="J463" s="1">
        <v>57980</v>
      </c>
      <c r="K463" s="309">
        <v>83732</v>
      </c>
      <c r="L463" s="309">
        <v>485480</v>
      </c>
      <c r="M463" s="368">
        <f t="shared" si="54"/>
        <v>6.6219772408911202E-4</v>
      </c>
      <c r="O463" s="1">
        <v>63480</v>
      </c>
      <c r="P463" s="309">
        <v>93787</v>
      </c>
      <c r="Q463" s="309">
        <v>595360</v>
      </c>
      <c r="R463" s="368">
        <f t="shared" si="55"/>
        <v>7.7780359148430639E-4</v>
      </c>
    </row>
    <row r="464" spans="2:18" x14ac:dyDescent="0.3">
      <c r="B464" s="54" t="s">
        <v>10</v>
      </c>
      <c r="C464" s="54" t="s">
        <v>24</v>
      </c>
      <c r="E464" s="1">
        <v>3400</v>
      </c>
      <c r="F464" s="309">
        <v>257597</v>
      </c>
      <c r="G464" s="309">
        <v>87583</v>
      </c>
      <c r="H464" s="368">
        <f t="shared" si="53"/>
        <v>7.726926706545201E-5</v>
      </c>
      <c r="J464" s="1">
        <v>3310</v>
      </c>
      <c r="K464" s="309">
        <v>226372</v>
      </c>
      <c r="L464" s="309">
        <v>74929</v>
      </c>
      <c r="M464" s="368">
        <f t="shared" si="54"/>
        <v>6.685729915217085E-5</v>
      </c>
      <c r="O464" s="1">
        <v>3350</v>
      </c>
      <c r="P464" s="309">
        <v>232242</v>
      </c>
      <c r="Q464" s="309">
        <v>77801</v>
      </c>
      <c r="R464" s="368">
        <f t="shared" si="55"/>
        <v>6.7909478230558889E-5</v>
      </c>
    </row>
    <row r="465" spans="2:18" x14ac:dyDescent="0.3">
      <c r="B465" s="54" t="s">
        <v>10</v>
      </c>
      <c r="C465" s="54" t="s">
        <v>25</v>
      </c>
      <c r="E465" s="1">
        <v>15125</v>
      </c>
      <c r="F465" s="309">
        <v>345404</v>
      </c>
      <c r="G465" s="309">
        <v>522424</v>
      </c>
      <c r="H465" s="368">
        <f t="shared" si="53"/>
        <v>1.4138159744377578E-3</v>
      </c>
      <c r="J465" s="1">
        <v>14678</v>
      </c>
      <c r="K465" s="309">
        <v>348251</v>
      </c>
      <c r="L465" s="309">
        <v>511163</v>
      </c>
      <c r="M465" s="368">
        <f t="shared" si="54"/>
        <v>1.4016674007672413E-3</v>
      </c>
      <c r="O465" s="1">
        <v>13973</v>
      </c>
      <c r="P465" s="309">
        <v>375291</v>
      </c>
      <c r="Q465" s="309">
        <v>524394</v>
      </c>
      <c r="R465" s="368">
        <f t="shared" si="55"/>
        <v>1.4179832012117415E-3</v>
      </c>
    </row>
    <row r="466" spans="2:18" x14ac:dyDescent="0.3">
      <c r="B466" s="54" t="s">
        <v>10</v>
      </c>
      <c r="C466" s="54" t="s">
        <v>1469</v>
      </c>
      <c r="E466" s="1">
        <v>0</v>
      </c>
      <c r="F466" s="309"/>
      <c r="G466" s="309">
        <v>0</v>
      </c>
      <c r="H466" s="368">
        <f t="shared" si="53"/>
        <v>0</v>
      </c>
      <c r="J466" s="1">
        <v>0</v>
      </c>
      <c r="K466" s="309"/>
      <c r="L466" s="309">
        <v>0</v>
      </c>
      <c r="M466" s="368">
        <f t="shared" si="54"/>
        <v>0</v>
      </c>
      <c r="O466" s="1">
        <v>0</v>
      </c>
      <c r="P466" s="309"/>
      <c r="Q466" s="309">
        <v>0</v>
      </c>
      <c r="R466" s="368">
        <f t="shared" si="55"/>
        <v>0</v>
      </c>
    </row>
    <row r="467" spans="2:18" x14ac:dyDescent="0.3">
      <c r="B467" s="54" t="s">
        <v>10</v>
      </c>
      <c r="C467" s="54" t="s">
        <v>26</v>
      </c>
      <c r="E467" s="1">
        <v>44800</v>
      </c>
      <c r="F467" s="309">
        <v>16116</v>
      </c>
      <c r="G467" s="309">
        <v>72200</v>
      </c>
      <c r="H467" s="368">
        <f t="shared" si="53"/>
        <v>9.3527214887084839E-5</v>
      </c>
      <c r="J467" s="1">
        <v>52900</v>
      </c>
      <c r="K467" s="309">
        <v>13327</v>
      </c>
      <c r="L467" s="309">
        <v>70500</v>
      </c>
      <c r="M467" s="368">
        <f t="shared" si="54"/>
        <v>9.6162436245123174E-5</v>
      </c>
      <c r="O467" s="1">
        <v>41300</v>
      </c>
      <c r="P467" s="309">
        <v>20521</v>
      </c>
      <c r="Q467" s="309">
        <v>84750</v>
      </c>
      <c r="R467" s="368">
        <f t="shared" si="55"/>
        <v>1.1072099969479805E-4</v>
      </c>
    </row>
    <row r="468" spans="2:18" x14ac:dyDescent="0.3">
      <c r="B468" s="54" t="s">
        <v>509</v>
      </c>
      <c r="C468" s="54" t="s">
        <v>24</v>
      </c>
      <c r="E468" s="1">
        <v>645742</v>
      </c>
      <c r="F468" s="309">
        <v>93667</v>
      </c>
      <c r="G468" s="309">
        <v>6048499</v>
      </c>
      <c r="H468" s="368">
        <f t="shared" si="53"/>
        <v>5.3362305992729116E-3</v>
      </c>
      <c r="J468" s="1">
        <v>591210</v>
      </c>
      <c r="K468" s="309">
        <v>104855</v>
      </c>
      <c r="L468" s="309">
        <v>6199150</v>
      </c>
      <c r="M468" s="368">
        <f t="shared" si="54"/>
        <v>5.5313486906161825E-3</v>
      </c>
      <c r="O468" s="1">
        <v>628800</v>
      </c>
      <c r="P468" s="309">
        <v>99859</v>
      </c>
      <c r="Q468" s="309">
        <v>6279120</v>
      </c>
      <c r="R468" s="368">
        <f t="shared" si="55"/>
        <v>5.4808005417291156E-3</v>
      </c>
    </row>
    <row r="469" spans="2:18" x14ac:dyDescent="0.3">
      <c r="B469" s="54" t="s">
        <v>509</v>
      </c>
      <c r="C469" s="54" t="s">
        <v>25</v>
      </c>
      <c r="E469" s="1">
        <v>48571</v>
      </c>
      <c r="F469" s="309">
        <v>277313</v>
      </c>
      <c r="G469" s="309">
        <v>1346936</v>
      </c>
      <c r="H469" s="368">
        <f t="shared" si="53"/>
        <v>3.6451610824642352E-3</v>
      </c>
      <c r="J469" s="1">
        <v>46430</v>
      </c>
      <c r="K469" s="309">
        <v>281628</v>
      </c>
      <c r="L469" s="309">
        <v>1307600</v>
      </c>
      <c r="M469" s="368">
        <f t="shared" si="54"/>
        <v>3.5855887324459023E-3</v>
      </c>
      <c r="O469" s="1">
        <v>46810</v>
      </c>
      <c r="P469" s="309">
        <v>285928</v>
      </c>
      <c r="Q469" s="309">
        <v>1338430</v>
      </c>
      <c r="R469" s="368">
        <f t="shared" si="55"/>
        <v>3.6191704252867716E-3</v>
      </c>
    </row>
    <row r="470" spans="2:18" x14ac:dyDescent="0.3">
      <c r="B470" s="54" t="s">
        <v>509</v>
      </c>
      <c r="C470" s="54" t="s">
        <v>1468</v>
      </c>
      <c r="E470" s="1">
        <v>234133</v>
      </c>
      <c r="F470" s="309">
        <v>68253</v>
      </c>
      <c r="G470" s="309">
        <v>1598027</v>
      </c>
      <c r="H470" s="368">
        <f t="shared" si="53"/>
        <v>2.2541463256084858E-3</v>
      </c>
      <c r="J470" s="1">
        <v>217190</v>
      </c>
      <c r="K470" s="309">
        <v>67687</v>
      </c>
      <c r="L470" s="309">
        <v>1470090</v>
      </c>
      <c r="M470" s="368">
        <f t="shared" si="54"/>
        <v>2.0453482232654532E-3</v>
      </c>
      <c r="O470" s="1">
        <v>220030</v>
      </c>
      <c r="P470" s="309">
        <v>67837</v>
      </c>
      <c r="Q470" s="309">
        <v>1492620</v>
      </c>
      <c r="R470" s="368">
        <f t="shared" si="55"/>
        <v>2.0963936231880734E-3</v>
      </c>
    </row>
    <row r="471" spans="2:18" x14ac:dyDescent="0.3">
      <c r="B471" s="54" t="s">
        <v>509</v>
      </c>
      <c r="C471" s="54" t="s">
        <v>27</v>
      </c>
      <c r="E471" s="1">
        <v>322417</v>
      </c>
      <c r="F471" s="309">
        <v>31629</v>
      </c>
      <c r="G471" s="309">
        <v>1019781</v>
      </c>
      <c r="H471" s="368">
        <f t="shared" si="53"/>
        <v>2.8402784127418588E-3</v>
      </c>
      <c r="J471" s="1">
        <v>326590</v>
      </c>
      <c r="K471" s="309">
        <v>36325</v>
      </c>
      <c r="L471" s="309">
        <v>1186350</v>
      </c>
      <c r="M471" s="368">
        <f t="shared" si="54"/>
        <v>3.4468036633431803E-3</v>
      </c>
      <c r="O471" s="1">
        <v>273330</v>
      </c>
      <c r="P471" s="309">
        <v>38153</v>
      </c>
      <c r="Q471" s="309">
        <v>1042830</v>
      </c>
      <c r="R471" s="368">
        <f t="shared" si="55"/>
        <v>3.1290441349420333E-3</v>
      </c>
    </row>
    <row r="472" spans="2:18" x14ac:dyDescent="0.3">
      <c r="B472" s="54" t="s">
        <v>509</v>
      </c>
      <c r="C472" s="54" t="s">
        <v>1469</v>
      </c>
      <c r="E472" s="1">
        <v>37972</v>
      </c>
      <c r="F472" s="309">
        <v>646152</v>
      </c>
      <c r="G472" s="309">
        <v>2453568</v>
      </c>
      <c r="H472" s="368">
        <f t="shared" si="53"/>
        <v>7.8141745688601293E-3</v>
      </c>
      <c r="J472" s="1">
        <v>34410</v>
      </c>
      <c r="K472" s="309">
        <v>564220</v>
      </c>
      <c r="L472" s="309">
        <v>1941480</v>
      </c>
      <c r="M472" s="368">
        <f t="shared" si="54"/>
        <v>7.0931554042547819E-3</v>
      </c>
      <c r="O472" s="1">
        <v>29970</v>
      </c>
      <c r="P472" s="309">
        <v>593637</v>
      </c>
      <c r="Q472" s="309">
        <v>1779130</v>
      </c>
      <c r="R472" s="368">
        <f t="shared" si="55"/>
        <v>6.3883048631088813E-3</v>
      </c>
    </row>
    <row r="473" spans="2:18" x14ac:dyDescent="0.3">
      <c r="B473" s="54" t="s">
        <v>509</v>
      </c>
      <c r="C473" s="54" t="s">
        <v>26</v>
      </c>
      <c r="E473" s="1">
        <v>1806572</v>
      </c>
      <c r="F473" s="309">
        <v>38562</v>
      </c>
      <c r="G473" s="309">
        <v>6966465</v>
      </c>
      <c r="H473" s="368">
        <f t="shared" si="53"/>
        <v>9.0242945852957827E-3</v>
      </c>
      <c r="J473" s="1">
        <v>1821730</v>
      </c>
      <c r="K473" s="309">
        <v>38999</v>
      </c>
      <c r="L473" s="309">
        <v>7104650</v>
      </c>
      <c r="M473" s="368">
        <f t="shared" si="54"/>
        <v>9.6907865626796354E-3</v>
      </c>
      <c r="O473" s="1">
        <v>1754640</v>
      </c>
      <c r="P473" s="309">
        <v>38409</v>
      </c>
      <c r="Q473" s="309">
        <v>6739470</v>
      </c>
      <c r="R473" s="368">
        <f t="shared" si="55"/>
        <v>8.8047298621014829E-3</v>
      </c>
    </row>
    <row r="474" spans="2:18" x14ac:dyDescent="0.3">
      <c r="B474" s="54" t="s">
        <v>1545</v>
      </c>
      <c r="C474" s="54" t="s">
        <v>28</v>
      </c>
      <c r="E474" s="1">
        <v>1072</v>
      </c>
      <c r="F474" s="309">
        <v>193685</v>
      </c>
      <c r="G474" s="309">
        <v>20763</v>
      </c>
      <c r="H474" s="368">
        <f t="shared" si="53"/>
        <v>7.3426605551079669E-5</v>
      </c>
      <c r="J474" s="1">
        <v>1136</v>
      </c>
      <c r="K474" s="309">
        <v>201092</v>
      </c>
      <c r="L474" s="309">
        <v>22844</v>
      </c>
      <c r="M474" s="368">
        <f t="shared" si="54"/>
        <v>7.8582721876865264E-5</v>
      </c>
      <c r="O474" s="1">
        <v>1271</v>
      </c>
      <c r="P474" s="309">
        <v>208725</v>
      </c>
      <c r="Q474" s="309">
        <v>26529</v>
      </c>
      <c r="R474" s="368">
        <f t="shared" si="55"/>
        <v>8.8643219741469539E-5</v>
      </c>
    </row>
    <row r="475" spans="2:18" x14ac:dyDescent="0.3">
      <c r="B475" s="54" t="s">
        <v>1545</v>
      </c>
      <c r="C475" s="54" t="s">
        <v>24</v>
      </c>
      <c r="E475" s="1">
        <v>2184</v>
      </c>
      <c r="F475" s="309">
        <v>11625</v>
      </c>
      <c r="G475" s="309">
        <v>2539</v>
      </c>
      <c r="H475" s="368">
        <f t="shared" si="53"/>
        <v>2.2400085527920104E-6</v>
      </c>
      <c r="J475" s="1">
        <v>1896</v>
      </c>
      <c r="K475" s="309">
        <v>11482</v>
      </c>
      <c r="L475" s="309">
        <v>2177</v>
      </c>
      <c r="M475" s="368">
        <f t="shared" si="54"/>
        <v>1.9424834210289202E-6</v>
      </c>
      <c r="O475" s="1">
        <v>1828</v>
      </c>
      <c r="P475" s="309">
        <v>11258</v>
      </c>
      <c r="Q475" s="309">
        <v>2058</v>
      </c>
      <c r="R475" s="368">
        <f t="shared" si="55"/>
        <v>1.7963484556559709E-6</v>
      </c>
    </row>
    <row r="476" spans="2:18" x14ac:dyDescent="0.3">
      <c r="B476" s="54" t="s">
        <v>1545</v>
      </c>
      <c r="C476" s="54" t="s">
        <v>25</v>
      </c>
      <c r="E476" s="1">
        <v>1039</v>
      </c>
      <c r="F476" s="309">
        <v>165043</v>
      </c>
      <c r="G476" s="309">
        <v>17148</v>
      </c>
      <c r="H476" s="368">
        <f t="shared" si="53"/>
        <v>4.6406972745621699E-5</v>
      </c>
      <c r="J476" s="1">
        <v>1122</v>
      </c>
      <c r="K476" s="309">
        <v>144242</v>
      </c>
      <c r="L476" s="309">
        <v>16184</v>
      </c>
      <c r="M476" s="368">
        <f t="shared" si="54"/>
        <v>4.4378378744191257E-5</v>
      </c>
      <c r="O476" s="1">
        <v>990</v>
      </c>
      <c r="P476" s="309">
        <v>158758</v>
      </c>
      <c r="Q476" s="309">
        <v>15717</v>
      </c>
      <c r="R476" s="368">
        <f t="shared" si="55"/>
        <v>4.2499422139545732E-5</v>
      </c>
    </row>
    <row r="477" spans="2:18" x14ac:dyDescent="0.3">
      <c r="B477" s="54" t="s">
        <v>1545</v>
      </c>
      <c r="C477" s="54" t="s">
        <v>1468</v>
      </c>
      <c r="E477" s="1">
        <v>1</v>
      </c>
      <c r="F477" s="309">
        <v>10000</v>
      </c>
      <c r="G477" s="309">
        <v>1</v>
      </c>
      <c r="H477" s="368">
        <f t="shared" si="53"/>
        <v>1.4105808760480802E-9</v>
      </c>
      <c r="J477" s="1">
        <v>0</v>
      </c>
      <c r="K477" s="309"/>
      <c r="L477" s="309">
        <v>0</v>
      </c>
      <c r="M477" s="368">
        <f t="shared" si="54"/>
        <v>0</v>
      </c>
      <c r="O477" s="1">
        <v>1</v>
      </c>
      <c r="P477" s="309">
        <v>10000</v>
      </c>
      <c r="Q477" s="309">
        <v>1</v>
      </c>
      <c r="R477" s="368">
        <f t="shared" si="55"/>
        <v>1.4045059179081572E-9</v>
      </c>
    </row>
    <row r="478" spans="2:18" x14ac:dyDescent="0.3">
      <c r="B478" s="54" t="s">
        <v>1545</v>
      </c>
      <c r="C478" s="54" t="s">
        <v>1470</v>
      </c>
      <c r="E478" s="1">
        <v>19500</v>
      </c>
      <c r="F478" s="309">
        <v>580103</v>
      </c>
      <c r="G478" s="309">
        <v>1131200</v>
      </c>
      <c r="H478" s="368">
        <f t="shared" si="53"/>
        <v>6.2518778327781709E-4</v>
      </c>
      <c r="J478" s="1">
        <v>18600</v>
      </c>
      <c r="K478" s="309">
        <v>552903</v>
      </c>
      <c r="L478" s="309">
        <v>1028400</v>
      </c>
      <c r="M478" s="368">
        <f t="shared" si="54"/>
        <v>5.4002712023129302E-4</v>
      </c>
      <c r="O478" s="1">
        <v>15700</v>
      </c>
      <c r="P478" s="309">
        <v>493121</v>
      </c>
      <c r="Q478" s="309">
        <v>774200</v>
      </c>
      <c r="R478" s="368">
        <f t="shared" si="55"/>
        <v>4.0208070480603138E-4</v>
      </c>
    </row>
    <row r="479" spans="2:18" x14ac:dyDescent="0.3">
      <c r="B479" s="54" t="s">
        <v>11</v>
      </c>
      <c r="C479" s="54" t="s">
        <v>24</v>
      </c>
      <c r="E479" s="1">
        <v>55</v>
      </c>
      <c r="F479" s="309">
        <v>26364</v>
      </c>
      <c r="G479" s="309">
        <v>145</v>
      </c>
      <c r="H479" s="368">
        <f t="shared" si="53"/>
        <v>1.279248681192759E-7</v>
      </c>
      <c r="J479" s="1">
        <v>55</v>
      </c>
      <c r="K479" s="309">
        <v>26364</v>
      </c>
      <c r="L479" s="309">
        <v>145</v>
      </c>
      <c r="M479" s="368">
        <f t="shared" si="54"/>
        <v>1.2937992468956979E-7</v>
      </c>
      <c r="O479" s="1">
        <v>54</v>
      </c>
      <c r="P479" s="309">
        <v>26852</v>
      </c>
      <c r="Q479" s="309">
        <v>145</v>
      </c>
      <c r="R479" s="368">
        <f t="shared" si="55"/>
        <v>1.2656488147235948E-7</v>
      </c>
    </row>
    <row r="480" spans="2:18" x14ac:dyDescent="0.3">
      <c r="B480" s="54" t="s">
        <v>11</v>
      </c>
      <c r="C480" s="54" t="s">
        <v>25</v>
      </c>
      <c r="E480" s="1">
        <v>77200</v>
      </c>
      <c r="F480" s="309">
        <v>310233</v>
      </c>
      <c r="G480" s="309">
        <v>2395000</v>
      </c>
      <c r="H480" s="368">
        <f t="shared" si="53"/>
        <v>6.4814963684257038E-3</v>
      </c>
      <c r="J480" s="1">
        <v>76500</v>
      </c>
      <c r="K480" s="309">
        <v>295425</v>
      </c>
      <c r="L480" s="309">
        <v>2260000</v>
      </c>
      <c r="M480" s="368">
        <f t="shared" si="54"/>
        <v>6.1971784454938356E-3</v>
      </c>
      <c r="O480" s="1">
        <v>72759</v>
      </c>
      <c r="P480" s="309">
        <v>298691</v>
      </c>
      <c r="Q480" s="309">
        <v>2173246</v>
      </c>
      <c r="R480" s="368">
        <f t="shared" si="55"/>
        <v>5.8765476342227648E-3</v>
      </c>
    </row>
    <row r="481" spans="2:18" x14ac:dyDescent="0.3">
      <c r="B481" s="54" t="s">
        <v>11</v>
      </c>
      <c r="C481" s="54" t="s">
        <v>1468</v>
      </c>
      <c r="E481" s="1">
        <v>1557000</v>
      </c>
      <c r="F481" s="309">
        <v>69216</v>
      </c>
      <c r="G481" s="309">
        <v>10777000</v>
      </c>
      <c r="H481" s="368">
        <f t="shared" si="53"/>
        <v>1.5201830101170162E-2</v>
      </c>
      <c r="J481" s="1">
        <v>1550000</v>
      </c>
      <c r="K481" s="309">
        <v>68426</v>
      </c>
      <c r="L481" s="309">
        <v>10606000</v>
      </c>
      <c r="M481" s="368">
        <f t="shared" si="54"/>
        <v>1.4756214419493634E-2</v>
      </c>
      <c r="O481" s="1">
        <v>1542000</v>
      </c>
      <c r="P481" s="309">
        <v>68268</v>
      </c>
      <c r="Q481" s="309">
        <v>10527000</v>
      </c>
      <c r="R481" s="368">
        <f t="shared" si="55"/>
        <v>1.478523379781917E-2</v>
      </c>
    </row>
    <row r="482" spans="2:18" x14ac:dyDescent="0.3">
      <c r="B482" s="54" t="s">
        <v>11</v>
      </c>
      <c r="C482" s="54" t="s">
        <v>27</v>
      </c>
      <c r="E482" s="1">
        <v>150200</v>
      </c>
      <c r="F482" s="309">
        <v>16844</v>
      </c>
      <c r="G482" s="309">
        <v>253000</v>
      </c>
      <c r="H482" s="368">
        <f t="shared" si="53"/>
        <v>7.0465172269702054E-4</v>
      </c>
      <c r="J482" s="1">
        <v>146600</v>
      </c>
      <c r="K482" s="309">
        <v>14413</v>
      </c>
      <c r="L482" s="309">
        <v>211300</v>
      </c>
      <c r="M482" s="368">
        <f t="shared" si="54"/>
        <v>6.1390788052801781E-4</v>
      </c>
      <c r="O482" s="1">
        <v>143500</v>
      </c>
      <c r="P482" s="309">
        <v>15178</v>
      </c>
      <c r="Q482" s="309">
        <v>217800</v>
      </c>
      <c r="R482" s="368">
        <f t="shared" si="55"/>
        <v>6.5351573371534664E-4</v>
      </c>
    </row>
    <row r="483" spans="2:18" x14ac:dyDescent="0.3">
      <c r="B483" s="54" t="s">
        <v>11</v>
      </c>
      <c r="C483" s="54" t="s">
        <v>1469</v>
      </c>
      <c r="E483" s="1">
        <v>58200</v>
      </c>
      <c r="F483" s="309">
        <v>670275</v>
      </c>
      <c r="G483" s="309">
        <v>3901000</v>
      </c>
      <c r="H483" s="368">
        <f t="shared" si="53"/>
        <v>1.242398620829884E-2</v>
      </c>
      <c r="J483" s="1">
        <v>57300</v>
      </c>
      <c r="K483" s="309">
        <v>630192</v>
      </c>
      <c r="L483" s="309">
        <v>3611000</v>
      </c>
      <c r="M483" s="368">
        <f t="shared" si="54"/>
        <v>1.3192710800401764E-2</v>
      </c>
      <c r="O483" s="1">
        <v>56700</v>
      </c>
      <c r="P483" s="309">
        <v>702998</v>
      </c>
      <c r="Q483" s="309">
        <v>3986000</v>
      </c>
      <c r="R483" s="368">
        <f t="shared" si="55"/>
        <v>1.4312491602273021E-2</v>
      </c>
    </row>
    <row r="484" spans="2:18" x14ac:dyDescent="0.3">
      <c r="B484" s="54" t="s">
        <v>11</v>
      </c>
      <c r="C484" s="54" t="s">
        <v>1470</v>
      </c>
      <c r="E484" s="1">
        <v>23700</v>
      </c>
      <c r="F484" s="309">
        <v>547257</v>
      </c>
      <c r="G484" s="309">
        <v>1297000</v>
      </c>
      <c r="H484" s="368">
        <f t="shared" si="53"/>
        <v>7.1682156551567246E-4</v>
      </c>
      <c r="J484" s="1">
        <v>22600</v>
      </c>
      <c r="K484" s="309">
        <v>529204</v>
      </c>
      <c r="L484" s="309">
        <v>1196000</v>
      </c>
      <c r="M484" s="368">
        <f t="shared" si="54"/>
        <v>6.280362075035263E-4</v>
      </c>
      <c r="O484" s="1">
        <v>21289</v>
      </c>
      <c r="P484" s="309">
        <v>547040</v>
      </c>
      <c r="Q484" s="309">
        <v>1164593</v>
      </c>
      <c r="R484" s="368">
        <f t="shared" si="55"/>
        <v>6.0483127648174961E-4</v>
      </c>
    </row>
    <row r="485" spans="2:18" x14ac:dyDescent="0.3">
      <c r="B485" s="54" t="s">
        <v>11</v>
      </c>
      <c r="C485" s="54" t="s">
        <v>26</v>
      </c>
      <c r="E485" s="1">
        <v>212300</v>
      </c>
      <c r="F485" s="309">
        <v>42708</v>
      </c>
      <c r="G485" s="309">
        <v>906700</v>
      </c>
      <c r="H485" s="368">
        <f t="shared" si="53"/>
        <v>1.1745308273977816E-3</v>
      </c>
      <c r="J485" s="1">
        <v>211900</v>
      </c>
      <c r="K485" s="309">
        <v>36097</v>
      </c>
      <c r="L485" s="309">
        <v>764900</v>
      </c>
      <c r="M485" s="368">
        <f t="shared" si="54"/>
        <v>1.0433283331048896E-3</v>
      </c>
      <c r="O485" s="1">
        <v>211600</v>
      </c>
      <c r="P485" s="309">
        <v>49008</v>
      </c>
      <c r="Q485" s="309">
        <v>1037000</v>
      </c>
      <c r="R485" s="368">
        <f t="shared" si="55"/>
        <v>1.3547808458230746E-3</v>
      </c>
    </row>
    <row r="486" spans="2:18" x14ac:dyDescent="0.3">
      <c r="B486" s="54" t="s">
        <v>12</v>
      </c>
      <c r="C486" s="54" t="s">
        <v>24</v>
      </c>
      <c r="E486" s="1">
        <v>1262</v>
      </c>
      <c r="F486" s="309">
        <v>294604</v>
      </c>
      <c r="G486" s="309">
        <v>37179</v>
      </c>
      <c r="H486" s="368">
        <f t="shared" si="53"/>
        <v>3.2800818426252128E-5</v>
      </c>
      <c r="J486" s="1">
        <v>497</v>
      </c>
      <c r="K486" s="309">
        <v>350785</v>
      </c>
      <c r="L486" s="309">
        <v>17434</v>
      </c>
      <c r="M486" s="368">
        <f t="shared" si="54"/>
        <v>1.5555928324399722E-5</v>
      </c>
      <c r="O486" s="1">
        <v>694</v>
      </c>
      <c r="P486" s="309">
        <v>301671</v>
      </c>
      <c r="Q486" s="309">
        <v>20936</v>
      </c>
      <c r="R486" s="368">
        <f t="shared" si="55"/>
        <v>1.8274223162105641E-5</v>
      </c>
    </row>
    <row r="487" spans="2:18" x14ac:dyDescent="0.3">
      <c r="B487" s="54" t="s">
        <v>12</v>
      </c>
      <c r="C487" s="54" t="s">
        <v>25</v>
      </c>
      <c r="E487" s="1">
        <v>4008</v>
      </c>
      <c r="F487" s="309">
        <v>388321</v>
      </c>
      <c r="G487" s="309">
        <v>155639</v>
      </c>
      <c r="H487" s="368">
        <f t="shared" si="53"/>
        <v>4.2119983853252947E-4</v>
      </c>
      <c r="J487" s="1">
        <v>3800</v>
      </c>
      <c r="K487" s="309">
        <v>403155</v>
      </c>
      <c r="L487" s="309">
        <v>153199</v>
      </c>
      <c r="M487" s="368">
        <f t="shared" si="54"/>
        <v>4.2008917728814609E-4</v>
      </c>
      <c r="O487" s="1">
        <v>4586</v>
      </c>
      <c r="P487" s="309">
        <v>378659</v>
      </c>
      <c r="Q487" s="309">
        <v>173653</v>
      </c>
      <c r="R487" s="368">
        <f t="shared" si="55"/>
        <v>4.6956493941582584E-4</v>
      </c>
    </row>
    <row r="488" spans="2:18" x14ac:dyDescent="0.3">
      <c r="B488" s="54" t="s">
        <v>12</v>
      </c>
      <c r="C488" s="54" t="s">
        <v>27</v>
      </c>
      <c r="E488" s="1">
        <v>0</v>
      </c>
      <c r="F488" s="309"/>
      <c r="G488" s="309">
        <v>0</v>
      </c>
      <c r="H488" s="368">
        <f t="shared" si="53"/>
        <v>0</v>
      </c>
      <c r="J488" s="1">
        <v>0</v>
      </c>
      <c r="K488" s="309"/>
      <c r="L488" s="309">
        <v>0</v>
      </c>
      <c r="M488" s="368">
        <f t="shared" si="54"/>
        <v>0</v>
      </c>
      <c r="O488" s="1">
        <v>0</v>
      </c>
      <c r="P488" s="309"/>
      <c r="Q488" s="309">
        <v>0</v>
      </c>
      <c r="R488" s="368">
        <f t="shared" si="55"/>
        <v>0</v>
      </c>
    </row>
    <row r="489" spans="2:18" x14ac:dyDescent="0.3">
      <c r="B489" s="54" t="s">
        <v>12</v>
      </c>
      <c r="C489" s="54" t="s">
        <v>26</v>
      </c>
      <c r="E489" s="1">
        <v>8162</v>
      </c>
      <c r="F489" s="309">
        <v>14837</v>
      </c>
      <c r="G489" s="309">
        <v>12110</v>
      </c>
      <c r="H489" s="368">
        <f t="shared" si="53"/>
        <v>1.5687182441587222E-5</v>
      </c>
      <c r="J489" s="1">
        <v>10894</v>
      </c>
      <c r="K489" s="309">
        <v>15044</v>
      </c>
      <c r="L489" s="309">
        <v>16389</v>
      </c>
      <c r="M489" s="368">
        <f t="shared" si="54"/>
        <v>2.235469741306842E-5</v>
      </c>
      <c r="O489" s="1">
        <v>11018</v>
      </c>
      <c r="P489" s="309">
        <v>23925</v>
      </c>
      <c r="Q489" s="309">
        <v>26361</v>
      </c>
      <c r="R489" s="368">
        <f t="shared" si="55"/>
        <v>3.4439130064360723E-5</v>
      </c>
    </row>
    <row r="490" spans="2:18" x14ac:dyDescent="0.3">
      <c r="B490" s="54" t="s">
        <v>13</v>
      </c>
      <c r="C490" s="54" t="s">
        <v>24</v>
      </c>
      <c r="E490" s="1">
        <v>136677</v>
      </c>
      <c r="F490" s="309">
        <v>57412</v>
      </c>
      <c r="G490" s="309">
        <v>784695</v>
      </c>
      <c r="H490" s="368">
        <f t="shared" si="53"/>
        <v>6.9228968544038068E-4</v>
      </c>
      <c r="J490" s="1">
        <v>150062</v>
      </c>
      <c r="K490" s="309">
        <v>57449</v>
      </c>
      <c r="L490" s="309">
        <v>862094</v>
      </c>
      <c r="M490" s="368">
        <f t="shared" si="54"/>
        <v>7.6922521927813776E-4</v>
      </c>
      <c r="O490" s="1">
        <v>156280</v>
      </c>
      <c r="P490" s="309">
        <v>57332</v>
      </c>
      <c r="Q490" s="309">
        <v>895978</v>
      </c>
      <c r="R490" s="368">
        <f t="shared" si="55"/>
        <v>7.8206447842649445E-4</v>
      </c>
    </row>
    <row r="491" spans="2:18" x14ac:dyDescent="0.3">
      <c r="B491" s="54" t="s">
        <v>13</v>
      </c>
      <c r="C491" s="54" t="s">
        <v>25</v>
      </c>
      <c r="E491" s="1">
        <v>182895</v>
      </c>
      <c r="F491" s="309">
        <v>194161</v>
      </c>
      <c r="G491" s="309">
        <v>3551114</v>
      </c>
      <c r="H491" s="368">
        <f t="shared" si="53"/>
        <v>9.6102432128875471E-3</v>
      </c>
      <c r="J491" s="1">
        <v>192326</v>
      </c>
      <c r="K491" s="309">
        <v>197945</v>
      </c>
      <c r="L491" s="309">
        <v>3806992</v>
      </c>
      <c r="M491" s="368">
        <f t="shared" si="54"/>
        <v>1.0439207417950208E-2</v>
      </c>
      <c r="O491" s="1">
        <v>192328</v>
      </c>
      <c r="P491" s="309">
        <v>203408</v>
      </c>
      <c r="Q491" s="309">
        <v>3912103</v>
      </c>
      <c r="R491" s="368">
        <f t="shared" si="55"/>
        <v>1.0578489333230467E-2</v>
      </c>
    </row>
    <row r="492" spans="2:18" x14ac:dyDescent="0.3">
      <c r="B492" s="54" t="s">
        <v>13</v>
      </c>
      <c r="C492" s="54" t="s">
        <v>1468</v>
      </c>
      <c r="E492" s="1">
        <v>104500</v>
      </c>
      <c r="F492" s="309">
        <v>46841</v>
      </c>
      <c r="G492" s="309">
        <v>489485</v>
      </c>
      <c r="H492" s="368">
        <f t="shared" si="53"/>
        <v>6.9045818011239453E-4</v>
      </c>
      <c r="J492" s="1">
        <v>101480</v>
      </c>
      <c r="K492" s="309">
        <v>47590</v>
      </c>
      <c r="L492" s="309">
        <v>482945</v>
      </c>
      <c r="M492" s="368">
        <f t="shared" si="54"/>
        <v>6.7192532272509456E-4</v>
      </c>
      <c r="O492" s="1">
        <v>101970</v>
      </c>
      <c r="P492" s="309">
        <v>54984</v>
      </c>
      <c r="Q492" s="309">
        <v>560668</v>
      </c>
      <c r="R492" s="368">
        <f t="shared" si="55"/>
        <v>7.8746152398173066E-4</v>
      </c>
    </row>
    <row r="493" spans="2:18" x14ac:dyDescent="0.3">
      <c r="B493" s="54" t="s">
        <v>13</v>
      </c>
      <c r="C493" s="54" t="s">
        <v>27</v>
      </c>
      <c r="E493" s="1">
        <v>125493</v>
      </c>
      <c r="F493" s="309">
        <v>20106</v>
      </c>
      <c r="G493" s="309">
        <v>252319</v>
      </c>
      <c r="H493" s="368">
        <f t="shared" si="53"/>
        <v>7.0275501193355549E-4</v>
      </c>
      <c r="J493" s="1">
        <v>123623</v>
      </c>
      <c r="K493" s="309">
        <v>20663</v>
      </c>
      <c r="L493" s="309">
        <v>255437</v>
      </c>
      <c r="M493" s="368">
        <f t="shared" si="54"/>
        <v>7.4214286454536346E-4</v>
      </c>
      <c r="O493" s="1">
        <v>138842</v>
      </c>
      <c r="P493" s="309">
        <v>20324</v>
      </c>
      <c r="Q493" s="309">
        <v>282185</v>
      </c>
      <c r="R493" s="368">
        <f t="shared" si="55"/>
        <v>8.4670494636577165E-4</v>
      </c>
    </row>
    <row r="494" spans="2:18" x14ac:dyDescent="0.3">
      <c r="B494" s="54" t="s">
        <v>13</v>
      </c>
      <c r="C494" s="54" t="s">
        <v>1469</v>
      </c>
      <c r="E494" s="1">
        <v>16879</v>
      </c>
      <c r="F494" s="309">
        <v>274422</v>
      </c>
      <c r="G494" s="309">
        <v>463197</v>
      </c>
      <c r="H494" s="368">
        <f t="shared" si="53"/>
        <v>1.4751994718598814E-3</v>
      </c>
      <c r="J494" s="1">
        <v>16526</v>
      </c>
      <c r="K494" s="309">
        <v>305301</v>
      </c>
      <c r="L494" s="309">
        <v>504541</v>
      </c>
      <c r="M494" s="368">
        <f t="shared" si="54"/>
        <v>1.8433296870522034E-3</v>
      </c>
      <c r="O494" s="1">
        <v>14961</v>
      </c>
      <c r="P494" s="309">
        <v>324510</v>
      </c>
      <c r="Q494" s="309">
        <v>485499</v>
      </c>
      <c r="R494" s="368">
        <f t="shared" si="55"/>
        <v>1.7432765580561841E-3</v>
      </c>
    </row>
    <row r="495" spans="2:18" x14ac:dyDescent="0.3">
      <c r="B495" s="54" t="s">
        <v>13</v>
      </c>
      <c r="C495" s="54" t="s">
        <v>26</v>
      </c>
      <c r="E495" s="1">
        <v>11911989</v>
      </c>
      <c r="F495" s="309">
        <v>12427</v>
      </c>
      <c r="G495" s="309">
        <v>14802865</v>
      </c>
      <c r="H495" s="368">
        <f t="shared" si="53"/>
        <v>1.9175494955671845E-2</v>
      </c>
      <c r="J495" s="1">
        <v>11354380</v>
      </c>
      <c r="K495" s="309">
        <v>12281</v>
      </c>
      <c r="L495" s="309">
        <v>13944108</v>
      </c>
      <c r="M495" s="368">
        <f t="shared" si="54"/>
        <v>1.9019849596384569E-2</v>
      </c>
      <c r="O495" s="1">
        <v>11413941</v>
      </c>
      <c r="P495" s="309">
        <v>9897</v>
      </c>
      <c r="Q495" s="309">
        <v>11296643</v>
      </c>
      <c r="R495" s="368">
        <f t="shared" si="55"/>
        <v>1.4758414231920267E-2</v>
      </c>
    </row>
    <row r="496" spans="2:18" x14ac:dyDescent="0.3">
      <c r="B496" s="54" t="s">
        <v>1546</v>
      </c>
      <c r="C496" s="54" t="s">
        <v>28</v>
      </c>
      <c r="E496" s="1">
        <v>68435</v>
      </c>
      <c r="F496" s="309">
        <v>115413</v>
      </c>
      <c r="G496" s="309">
        <v>789830</v>
      </c>
      <c r="H496" s="368">
        <f t="shared" si="53"/>
        <v>2.7931674547227885E-3</v>
      </c>
      <c r="J496" s="1">
        <v>61592</v>
      </c>
      <c r="K496" s="309">
        <v>153590</v>
      </c>
      <c r="L496" s="309">
        <v>945991</v>
      </c>
      <c r="M496" s="368">
        <f t="shared" si="54"/>
        <v>3.2541826147354951E-3</v>
      </c>
      <c r="O496" s="1">
        <v>69621</v>
      </c>
      <c r="P496" s="309">
        <v>139410</v>
      </c>
      <c r="Q496" s="309">
        <v>970587</v>
      </c>
      <c r="R496" s="368">
        <f t="shared" si="55"/>
        <v>3.2430908333979302E-3</v>
      </c>
    </row>
    <row r="497" spans="2:18" x14ac:dyDescent="0.3">
      <c r="B497" s="54" t="s">
        <v>1546</v>
      </c>
      <c r="C497" s="54" t="s">
        <v>24</v>
      </c>
      <c r="E497" s="1">
        <v>2086178</v>
      </c>
      <c r="F497" s="309">
        <v>15272</v>
      </c>
      <c r="G497" s="309">
        <v>3186000</v>
      </c>
      <c r="H497" s="368">
        <f t="shared" si="53"/>
        <v>2.8108181367449171E-3</v>
      </c>
      <c r="J497" s="1">
        <v>2273283</v>
      </c>
      <c r="K497" s="309">
        <v>17656</v>
      </c>
      <c r="L497" s="309">
        <v>4013777</v>
      </c>
      <c r="M497" s="368">
        <f t="shared" si="54"/>
        <v>3.5813942481429471E-3</v>
      </c>
      <c r="O497" s="1">
        <v>2196136</v>
      </c>
      <c r="P497" s="309">
        <v>17745</v>
      </c>
      <c r="Q497" s="309">
        <v>3897000</v>
      </c>
      <c r="R497" s="368">
        <f t="shared" si="55"/>
        <v>3.4015402972261024E-3</v>
      </c>
    </row>
    <row r="498" spans="2:18" x14ac:dyDescent="0.3">
      <c r="B498" s="54" t="s">
        <v>1546</v>
      </c>
      <c r="C498" s="54" t="s">
        <v>25</v>
      </c>
      <c r="E498" s="1">
        <v>165458</v>
      </c>
      <c r="F498" s="309">
        <v>91858</v>
      </c>
      <c r="G498" s="309">
        <v>1519870</v>
      </c>
      <c r="H498" s="368">
        <f t="shared" si="53"/>
        <v>4.113165714187547E-3</v>
      </c>
      <c r="J498" s="1">
        <v>217315</v>
      </c>
      <c r="K498" s="309">
        <v>86067</v>
      </c>
      <c r="L498" s="309">
        <v>1870375</v>
      </c>
      <c r="M498" s="368">
        <f t="shared" si="54"/>
        <v>5.1287821393763422E-3</v>
      </c>
      <c r="O498" s="1">
        <v>212976</v>
      </c>
      <c r="P498" s="309">
        <v>93907</v>
      </c>
      <c r="Q498" s="309">
        <v>2000000</v>
      </c>
      <c r="R498" s="368">
        <f t="shared" si="55"/>
        <v>5.4080832397462274E-3</v>
      </c>
    </row>
    <row r="499" spans="2:18" x14ac:dyDescent="0.3">
      <c r="B499" s="54" t="s">
        <v>1546</v>
      </c>
      <c r="C499" s="54" t="s">
        <v>1468</v>
      </c>
      <c r="E499" s="1">
        <v>30392</v>
      </c>
      <c r="F499" s="309">
        <v>26717</v>
      </c>
      <c r="G499" s="309">
        <v>81198</v>
      </c>
      <c r="H499" s="368">
        <f t="shared" si="53"/>
        <v>1.1453634597335202E-4</v>
      </c>
      <c r="J499" s="1">
        <v>25966</v>
      </c>
      <c r="K499" s="309">
        <v>43366</v>
      </c>
      <c r="L499" s="309">
        <v>112605</v>
      </c>
      <c r="M499" s="368">
        <f t="shared" si="54"/>
        <v>1.5666825614813132E-4</v>
      </c>
      <c r="O499" s="1">
        <v>23490</v>
      </c>
      <c r="P499" s="309">
        <v>68363</v>
      </c>
      <c r="Q499" s="309">
        <v>160584</v>
      </c>
      <c r="R499" s="368">
        <f t="shared" si="55"/>
        <v>2.2554117832136351E-4</v>
      </c>
    </row>
    <row r="500" spans="2:18" x14ac:dyDescent="0.3">
      <c r="B500" s="54" t="s">
        <v>1546</v>
      </c>
      <c r="C500" s="54" t="s">
        <v>27</v>
      </c>
      <c r="E500" s="1">
        <v>2405</v>
      </c>
      <c r="F500" s="309">
        <v>10470</v>
      </c>
      <c r="G500" s="309">
        <v>2518</v>
      </c>
      <c r="H500" s="368">
        <f t="shared" si="53"/>
        <v>7.0130950108739044E-6</v>
      </c>
      <c r="J500" s="1">
        <v>2390</v>
      </c>
      <c r="K500" s="309">
        <v>10033</v>
      </c>
      <c r="L500" s="309">
        <v>2398</v>
      </c>
      <c r="M500" s="368">
        <f t="shared" si="54"/>
        <v>6.9671135707817645E-6</v>
      </c>
      <c r="O500" s="1">
        <v>2398</v>
      </c>
      <c r="P500" s="309">
        <v>9992</v>
      </c>
      <c r="Q500" s="309">
        <v>2396</v>
      </c>
      <c r="R500" s="368">
        <f t="shared" si="55"/>
        <v>7.1892731771440332E-6</v>
      </c>
    </row>
    <row r="501" spans="2:18" x14ac:dyDescent="0.3">
      <c r="B501" s="54" t="s">
        <v>1546</v>
      </c>
      <c r="C501" s="54" t="s">
        <v>1470</v>
      </c>
      <c r="E501" s="1">
        <v>67708</v>
      </c>
      <c r="F501" s="309">
        <v>701779</v>
      </c>
      <c r="G501" s="309">
        <v>4751605</v>
      </c>
      <c r="H501" s="368">
        <f t="shared" si="53"/>
        <v>2.6261009520525034E-3</v>
      </c>
      <c r="J501" s="1">
        <v>73065</v>
      </c>
      <c r="K501" s="309">
        <v>720202</v>
      </c>
      <c r="L501" s="309">
        <v>5262157</v>
      </c>
      <c r="M501" s="368">
        <f t="shared" si="54"/>
        <v>2.763231710341249E-3</v>
      </c>
      <c r="O501" s="1">
        <v>71900</v>
      </c>
      <c r="P501" s="309">
        <v>640626</v>
      </c>
      <c r="Q501" s="309">
        <v>4606100</v>
      </c>
      <c r="R501" s="368">
        <f t="shared" si="55"/>
        <v>2.3921776471287279E-3</v>
      </c>
    </row>
    <row r="502" spans="2:18" x14ac:dyDescent="0.3">
      <c r="B502" s="54" t="s">
        <v>1546</v>
      </c>
      <c r="C502" s="54" t="s">
        <v>26</v>
      </c>
      <c r="E502" s="1">
        <v>131309</v>
      </c>
      <c r="F502" s="309">
        <v>12581</v>
      </c>
      <c r="G502" s="309">
        <v>165200</v>
      </c>
      <c r="H502" s="368">
        <f t="shared" si="53"/>
        <v>2.1399855816269273E-4</v>
      </c>
      <c r="J502" s="1">
        <v>133147</v>
      </c>
      <c r="K502" s="309">
        <v>25280</v>
      </c>
      <c r="L502" s="309">
        <v>336600</v>
      </c>
      <c r="M502" s="368">
        <f t="shared" si="54"/>
        <v>4.5912448283841789E-4</v>
      </c>
      <c r="O502" s="1">
        <v>134785</v>
      </c>
      <c r="P502" s="309">
        <v>27169</v>
      </c>
      <c r="Q502" s="309">
        <v>366200</v>
      </c>
      <c r="R502" s="368">
        <f t="shared" si="55"/>
        <v>4.7841923407946957E-4</v>
      </c>
    </row>
    <row r="503" spans="2:18" x14ac:dyDescent="0.3">
      <c r="B503" s="54" t="s">
        <v>1547</v>
      </c>
      <c r="C503" s="54" t="s">
        <v>24</v>
      </c>
      <c r="E503" s="1">
        <v>532</v>
      </c>
      <c r="F503" s="309">
        <v>72143</v>
      </c>
      <c r="G503" s="309">
        <v>3838</v>
      </c>
      <c r="H503" s="368">
        <f t="shared" si="53"/>
        <v>3.3860389230467648E-6</v>
      </c>
      <c r="J503" s="1">
        <v>504</v>
      </c>
      <c r="K503" s="309">
        <v>175972</v>
      </c>
      <c r="L503" s="309">
        <v>8869</v>
      </c>
      <c r="M503" s="368">
        <f t="shared" si="54"/>
        <v>7.9135900142882372E-6</v>
      </c>
      <c r="O503" s="1">
        <v>660</v>
      </c>
      <c r="P503" s="309">
        <v>229106</v>
      </c>
      <c r="Q503" s="309">
        <v>15121</v>
      </c>
      <c r="R503" s="368">
        <f t="shared" si="55"/>
        <v>1.3198534984438258E-5</v>
      </c>
    </row>
    <row r="504" spans="2:18" x14ac:dyDescent="0.3">
      <c r="B504" s="54" t="s">
        <v>1547</v>
      </c>
      <c r="C504" s="54" t="s">
        <v>25</v>
      </c>
      <c r="E504" s="1">
        <v>830</v>
      </c>
      <c r="F504" s="309">
        <v>623747</v>
      </c>
      <c r="G504" s="309">
        <v>51771</v>
      </c>
      <c r="H504" s="368">
        <f t="shared" si="53"/>
        <v>1.4010586575773155E-4</v>
      </c>
      <c r="J504" s="1">
        <v>581</v>
      </c>
      <c r="K504" s="309">
        <v>623270</v>
      </c>
      <c r="L504" s="309">
        <v>36212</v>
      </c>
      <c r="M504" s="368">
        <f t="shared" si="54"/>
        <v>9.9297445074434862E-5</v>
      </c>
      <c r="O504" s="1">
        <v>905</v>
      </c>
      <c r="P504" s="309">
        <v>506354</v>
      </c>
      <c r="Q504" s="309">
        <v>45825</v>
      </c>
      <c r="R504" s="368">
        <f t="shared" si="55"/>
        <v>1.2391270723068545E-4</v>
      </c>
    </row>
    <row r="505" spans="2:18" x14ac:dyDescent="0.3">
      <c r="B505" s="54" t="s">
        <v>1547</v>
      </c>
      <c r="C505" s="54" t="s">
        <v>26</v>
      </c>
      <c r="E505" s="1">
        <v>7</v>
      </c>
      <c r="F505" s="309">
        <v>31429</v>
      </c>
      <c r="G505" s="309">
        <v>22</v>
      </c>
      <c r="H505" s="368">
        <f t="shared" si="53"/>
        <v>2.849859733401477E-8</v>
      </c>
      <c r="J505" s="1">
        <v>3</v>
      </c>
      <c r="K505" s="309">
        <v>30000</v>
      </c>
      <c r="L505" s="309">
        <v>9</v>
      </c>
      <c r="M505" s="368">
        <f t="shared" si="54"/>
        <v>1.2276055690866788E-8</v>
      </c>
      <c r="O505" s="1">
        <v>5</v>
      </c>
      <c r="P505" s="309">
        <v>32000</v>
      </c>
      <c r="Q505" s="309">
        <v>16</v>
      </c>
      <c r="R505" s="368">
        <f t="shared" si="55"/>
        <v>2.0903079588398452E-8</v>
      </c>
    </row>
    <row r="506" spans="2:18" x14ac:dyDescent="0.3">
      <c r="B506" s="54" t="s">
        <v>1548</v>
      </c>
      <c r="C506" s="54" t="s">
        <v>24</v>
      </c>
      <c r="E506" s="1">
        <v>101370</v>
      </c>
      <c r="F506" s="309">
        <v>64452</v>
      </c>
      <c r="G506" s="309">
        <v>653351</v>
      </c>
      <c r="H506" s="368">
        <f t="shared" si="53"/>
        <v>5.7641269317653125E-4</v>
      </c>
      <c r="J506" s="1">
        <v>105063</v>
      </c>
      <c r="K506" s="309">
        <v>65949</v>
      </c>
      <c r="L506" s="309">
        <v>692877</v>
      </c>
      <c r="M506" s="368">
        <f t="shared" si="54"/>
        <v>6.1823706261472438E-4</v>
      </c>
      <c r="O506" s="1">
        <v>106243</v>
      </c>
      <c r="P506" s="309">
        <v>66996</v>
      </c>
      <c r="Q506" s="309">
        <v>711786</v>
      </c>
      <c r="R506" s="368">
        <f t="shared" si="55"/>
        <v>6.2129041878403353E-4</v>
      </c>
    </row>
    <row r="507" spans="2:18" x14ac:dyDescent="0.3">
      <c r="B507" s="54" t="s">
        <v>1548</v>
      </c>
      <c r="C507" s="54" t="s">
        <v>25</v>
      </c>
      <c r="E507" s="1">
        <v>83033</v>
      </c>
      <c r="F507" s="309">
        <v>170536</v>
      </c>
      <c r="G507" s="309">
        <v>1416011</v>
      </c>
      <c r="H507" s="368">
        <f t="shared" si="53"/>
        <v>3.8320960977665341E-3</v>
      </c>
      <c r="J507" s="1">
        <v>84428</v>
      </c>
      <c r="K507" s="309">
        <v>171342</v>
      </c>
      <c r="L507" s="309">
        <v>1446610</v>
      </c>
      <c r="M507" s="368">
        <f t="shared" si="54"/>
        <v>3.9667700491309013E-3</v>
      </c>
      <c r="O507" s="1">
        <v>79208</v>
      </c>
      <c r="P507" s="309">
        <v>173442</v>
      </c>
      <c r="Q507" s="309">
        <v>1373800</v>
      </c>
      <c r="R507" s="368">
        <f t="shared" si="55"/>
        <v>3.7148123773816837E-3</v>
      </c>
    </row>
    <row r="508" spans="2:18" x14ac:dyDescent="0.3">
      <c r="B508" s="54" t="s">
        <v>1548</v>
      </c>
      <c r="C508" s="54" t="s">
        <v>1468</v>
      </c>
      <c r="E508" s="1">
        <v>10704</v>
      </c>
      <c r="F508" s="309">
        <v>35669</v>
      </c>
      <c r="G508" s="309">
        <v>38180</v>
      </c>
      <c r="H508" s="368">
        <f t="shared" si="53"/>
        <v>5.3855977847515706E-5</v>
      </c>
      <c r="J508" s="1">
        <v>11346</v>
      </c>
      <c r="K508" s="309">
        <v>35945</v>
      </c>
      <c r="L508" s="309">
        <v>40783</v>
      </c>
      <c r="M508" s="368">
        <f t="shared" si="54"/>
        <v>5.6741720975882414E-5</v>
      </c>
      <c r="O508" s="1">
        <v>11304</v>
      </c>
      <c r="P508" s="309">
        <v>36464</v>
      </c>
      <c r="Q508" s="309">
        <v>41219</v>
      </c>
      <c r="R508" s="368">
        <f t="shared" si="55"/>
        <v>5.7892329430256329E-5</v>
      </c>
    </row>
    <row r="509" spans="2:18" x14ac:dyDescent="0.3">
      <c r="B509" s="54" t="s">
        <v>1548</v>
      </c>
      <c r="C509" s="54" t="s">
        <v>27</v>
      </c>
      <c r="E509" s="1">
        <v>1711</v>
      </c>
      <c r="F509" s="309">
        <v>20526</v>
      </c>
      <c r="G509" s="309">
        <v>3512</v>
      </c>
      <c r="H509" s="368">
        <f t="shared" si="53"/>
        <v>9.7815685775175349E-6</v>
      </c>
      <c r="J509" s="1">
        <v>1623</v>
      </c>
      <c r="K509" s="309">
        <v>17696</v>
      </c>
      <c r="L509" s="309">
        <v>2872</v>
      </c>
      <c r="M509" s="368">
        <f t="shared" si="54"/>
        <v>8.3442661281422963E-6</v>
      </c>
      <c r="O509" s="1">
        <v>1463</v>
      </c>
      <c r="P509" s="309">
        <v>19378</v>
      </c>
      <c r="Q509" s="309">
        <v>2835</v>
      </c>
      <c r="R509" s="368">
        <f t="shared" si="55"/>
        <v>8.5065064512534776E-6</v>
      </c>
    </row>
    <row r="510" spans="2:18" x14ac:dyDescent="0.3">
      <c r="B510" s="54" t="s">
        <v>1548</v>
      </c>
      <c r="C510" s="54" t="s">
        <v>1469</v>
      </c>
      <c r="E510" s="1">
        <v>17304</v>
      </c>
      <c r="F510" s="309">
        <v>411626</v>
      </c>
      <c r="G510" s="309">
        <v>712278</v>
      </c>
      <c r="H510" s="368">
        <f t="shared" si="53"/>
        <v>2.2684778386246299E-3</v>
      </c>
      <c r="J510" s="1">
        <v>16261</v>
      </c>
      <c r="K510" s="309">
        <v>475391</v>
      </c>
      <c r="L510" s="309">
        <v>773034</v>
      </c>
      <c r="M510" s="368">
        <f t="shared" si="54"/>
        <v>2.8242630852610847E-3</v>
      </c>
      <c r="O510" s="1">
        <v>14397</v>
      </c>
      <c r="P510" s="309">
        <v>514779</v>
      </c>
      <c r="Q510" s="309">
        <v>741128</v>
      </c>
      <c r="R510" s="368">
        <f t="shared" si="55"/>
        <v>2.6611611330179127E-3</v>
      </c>
    </row>
    <row r="511" spans="2:18" x14ac:dyDescent="0.3">
      <c r="B511" s="54" t="s">
        <v>1548</v>
      </c>
      <c r="C511" s="54" t="s">
        <v>26</v>
      </c>
      <c r="E511" s="1">
        <v>249860</v>
      </c>
      <c r="F511" s="309">
        <v>24053</v>
      </c>
      <c r="G511" s="309">
        <v>600997</v>
      </c>
      <c r="H511" s="368">
        <f t="shared" si="53"/>
        <v>7.7852597736140347E-4</v>
      </c>
      <c r="J511" s="1">
        <v>253804</v>
      </c>
      <c r="K511" s="309">
        <v>24268</v>
      </c>
      <c r="L511" s="309">
        <v>615926</v>
      </c>
      <c r="M511" s="368">
        <f t="shared" si="54"/>
        <v>8.4012687527253529E-4</v>
      </c>
      <c r="O511" s="1">
        <v>239594</v>
      </c>
      <c r="P511" s="309">
        <v>25093</v>
      </c>
      <c r="Q511" s="309">
        <v>601216</v>
      </c>
      <c r="R511" s="368">
        <f t="shared" si="55"/>
        <v>7.8545411861366023E-4</v>
      </c>
    </row>
    <row r="512" spans="2:18" x14ac:dyDescent="0.3">
      <c r="B512" s="54" t="s">
        <v>1549</v>
      </c>
      <c r="C512" s="54" t="s">
        <v>28</v>
      </c>
      <c r="E512" s="1">
        <v>70930</v>
      </c>
      <c r="F512" s="309">
        <v>321028</v>
      </c>
      <c r="G512" s="309">
        <v>2277050</v>
      </c>
      <c r="H512" s="368">
        <f t="shared" si="53"/>
        <v>8.0525960684913536E-3</v>
      </c>
      <c r="J512" s="1">
        <v>71010</v>
      </c>
      <c r="K512" s="309">
        <v>320945</v>
      </c>
      <c r="L512" s="309">
        <v>2279030</v>
      </c>
      <c r="M512" s="368">
        <f t="shared" si="54"/>
        <v>7.8397995376918335E-3</v>
      </c>
      <c r="O512" s="1">
        <v>67726</v>
      </c>
      <c r="P512" s="309">
        <v>333506</v>
      </c>
      <c r="Q512" s="309">
        <v>2258702</v>
      </c>
      <c r="R512" s="368">
        <f t="shared" si="55"/>
        <v>7.5471603798294975E-3</v>
      </c>
    </row>
    <row r="513" spans="2:18" x14ac:dyDescent="0.3">
      <c r="B513" s="54" t="s">
        <v>1549</v>
      </c>
      <c r="C513" s="54" t="s">
        <v>24</v>
      </c>
      <c r="E513" s="1">
        <v>207190</v>
      </c>
      <c r="F513" s="309">
        <v>57557</v>
      </c>
      <c r="G513" s="309">
        <v>1192525</v>
      </c>
      <c r="H513" s="368">
        <f t="shared" si="53"/>
        <v>1.0520938162340654E-3</v>
      </c>
      <c r="J513" s="1">
        <v>165620</v>
      </c>
      <c r="K513" s="309">
        <v>59273</v>
      </c>
      <c r="L513" s="309">
        <v>981680</v>
      </c>
      <c r="M513" s="368">
        <f t="shared" si="54"/>
        <v>8.7592885840866803E-4</v>
      </c>
      <c r="O513" s="1">
        <v>148000</v>
      </c>
      <c r="P513" s="309">
        <v>48446</v>
      </c>
      <c r="Q513" s="309">
        <v>717000</v>
      </c>
      <c r="R513" s="368">
        <f t="shared" si="55"/>
        <v>6.2584151734952924E-4</v>
      </c>
    </row>
    <row r="514" spans="2:18" x14ac:dyDescent="0.3">
      <c r="B514" s="54" t="s">
        <v>1549</v>
      </c>
      <c r="C514" s="54" t="s">
        <v>25</v>
      </c>
      <c r="E514" s="1">
        <v>70</v>
      </c>
      <c r="F514" s="309">
        <v>226429</v>
      </c>
      <c r="G514" s="309">
        <v>1585</v>
      </c>
      <c r="H514" s="368">
        <f t="shared" si="53"/>
        <v>4.2894245277472818E-6</v>
      </c>
      <c r="J514" s="1">
        <v>95</v>
      </c>
      <c r="K514" s="309">
        <v>227368</v>
      </c>
      <c r="L514" s="309">
        <v>2160</v>
      </c>
      <c r="M514" s="368">
        <f t="shared" si="54"/>
        <v>5.9229670098525157E-6</v>
      </c>
      <c r="O514" s="1">
        <v>634</v>
      </c>
      <c r="P514" s="309">
        <v>253139</v>
      </c>
      <c r="Q514" s="309">
        <v>16049</v>
      </c>
      <c r="R514" s="368">
        <f t="shared" si="55"/>
        <v>4.3397163957343604E-5</v>
      </c>
    </row>
    <row r="515" spans="2:18" x14ac:dyDescent="0.3">
      <c r="B515" s="54" t="s">
        <v>1549</v>
      </c>
      <c r="C515" s="54" t="s">
        <v>1468</v>
      </c>
      <c r="E515" s="1">
        <v>956134</v>
      </c>
      <c r="F515" s="309">
        <v>42251</v>
      </c>
      <c r="G515" s="309">
        <v>4039779</v>
      </c>
      <c r="H515" s="368">
        <f t="shared" ref="H515:H578" si="56">G515/(VLOOKUP($C515,$W$5:$Z$13,2,FALSE)*10^6)</f>
        <v>5.6984350008606379E-3</v>
      </c>
      <c r="J515" s="1">
        <v>848174</v>
      </c>
      <c r="K515" s="309">
        <v>42264</v>
      </c>
      <c r="L515" s="309">
        <v>3584700</v>
      </c>
      <c r="M515" s="368">
        <f t="shared" ref="M515:M578" si="57">L515/(VLOOKUP($C515,$W$5:$Z$13,3,FALSE)*10^6)</f>
        <v>4.9874223863434685E-3</v>
      </c>
      <c r="O515" s="1">
        <v>783766</v>
      </c>
      <c r="P515" s="309">
        <v>43865</v>
      </c>
      <c r="Q515" s="309">
        <v>3438000</v>
      </c>
      <c r="R515" s="368">
        <f t="shared" ref="R515:R578" si="58">Q515/(VLOOKUP($C515,$W$5:$Z$13,4,FALSE)*10^6)</f>
        <v>4.8286913457682443E-3</v>
      </c>
    </row>
    <row r="516" spans="2:18" x14ac:dyDescent="0.3">
      <c r="B516" s="54" t="s">
        <v>1549</v>
      </c>
      <c r="C516" s="54" t="s">
        <v>27</v>
      </c>
      <c r="E516" s="1">
        <v>4260</v>
      </c>
      <c r="F516" s="309">
        <v>18685</v>
      </c>
      <c r="G516" s="309">
        <v>7960</v>
      </c>
      <c r="H516" s="368">
        <f t="shared" si="56"/>
        <v>2.2170070010546574E-5</v>
      </c>
      <c r="J516" s="1">
        <v>4730</v>
      </c>
      <c r="K516" s="309">
        <v>17717</v>
      </c>
      <c r="L516" s="309">
        <v>8380</v>
      </c>
      <c r="M516" s="368">
        <f t="shared" si="57"/>
        <v>2.4347127490888736E-5</v>
      </c>
      <c r="O516" s="1">
        <v>7134</v>
      </c>
      <c r="P516" s="309">
        <v>17393</v>
      </c>
      <c r="Q516" s="309">
        <v>12408</v>
      </c>
      <c r="R516" s="368">
        <f t="shared" si="58"/>
        <v>3.7230593314692469E-5</v>
      </c>
    </row>
    <row r="517" spans="2:18" x14ac:dyDescent="0.3">
      <c r="B517" s="54" t="s">
        <v>1549</v>
      </c>
      <c r="C517" s="54" t="s">
        <v>1470</v>
      </c>
      <c r="E517" s="1">
        <v>29090</v>
      </c>
      <c r="F517" s="309">
        <v>606528</v>
      </c>
      <c r="G517" s="309">
        <v>1764390</v>
      </c>
      <c r="H517" s="368">
        <f t="shared" si="56"/>
        <v>9.7513708710886466E-4</v>
      </c>
      <c r="J517" s="1">
        <v>30555</v>
      </c>
      <c r="K517" s="309">
        <v>600401</v>
      </c>
      <c r="L517" s="309">
        <v>1834525</v>
      </c>
      <c r="M517" s="368">
        <f t="shared" si="57"/>
        <v>9.6333455148027317E-4</v>
      </c>
      <c r="O517" s="1">
        <v>31826</v>
      </c>
      <c r="P517" s="309">
        <v>619169</v>
      </c>
      <c r="Q517" s="309">
        <v>1970566</v>
      </c>
      <c r="R517" s="368">
        <f t="shared" si="58"/>
        <v>1.0234132861622347E-3</v>
      </c>
    </row>
    <row r="518" spans="2:18" x14ac:dyDescent="0.3">
      <c r="B518" s="54" t="s">
        <v>1550</v>
      </c>
      <c r="C518" s="54" t="s">
        <v>24</v>
      </c>
      <c r="E518" s="1"/>
      <c r="F518" s="309"/>
      <c r="G518" s="309"/>
      <c r="H518" s="368">
        <f t="shared" si="56"/>
        <v>0</v>
      </c>
      <c r="J518" s="1">
        <v>0</v>
      </c>
      <c r="K518" s="309"/>
      <c r="L518" s="309">
        <v>0</v>
      </c>
      <c r="M518" s="368">
        <f t="shared" si="57"/>
        <v>0</v>
      </c>
      <c r="O518" s="1">
        <v>0</v>
      </c>
      <c r="P518" s="309"/>
      <c r="Q518" s="309">
        <v>0</v>
      </c>
      <c r="R518" s="368">
        <f t="shared" si="58"/>
        <v>0</v>
      </c>
    </row>
    <row r="519" spans="2:18" x14ac:dyDescent="0.3">
      <c r="B519" s="54" t="s">
        <v>1550</v>
      </c>
      <c r="C519" s="54" t="s">
        <v>25</v>
      </c>
      <c r="E519" s="1">
        <v>21500</v>
      </c>
      <c r="F519" s="309">
        <v>189907</v>
      </c>
      <c r="G519" s="309">
        <v>408300</v>
      </c>
      <c r="H519" s="368">
        <f t="shared" si="56"/>
        <v>1.1049665833938267E-3</v>
      </c>
      <c r="J519" s="1">
        <v>9900</v>
      </c>
      <c r="K519" s="309">
        <v>198182</v>
      </c>
      <c r="L519" s="309">
        <v>196200</v>
      </c>
      <c r="M519" s="368">
        <f t="shared" si="57"/>
        <v>5.3800283672827021E-4</v>
      </c>
      <c r="O519" s="1">
        <v>10000</v>
      </c>
      <c r="P519" s="309">
        <v>223700</v>
      </c>
      <c r="Q519" s="309">
        <v>223700</v>
      </c>
      <c r="R519" s="368">
        <f t="shared" si="58"/>
        <v>6.0489411036561554E-4</v>
      </c>
    </row>
    <row r="520" spans="2:18" x14ac:dyDescent="0.3">
      <c r="B520" s="54" t="s">
        <v>1550</v>
      </c>
      <c r="C520" s="54" t="s">
        <v>1468</v>
      </c>
      <c r="E520" s="1"/>
      <c r="F520" s="309"/>
      <c r="G520" s="309"/>
      <c r="H520" s="368">
        <f t="shared" si="56"/>
        <v>0</v>
      </c>
      <c r="J520" s="1">
        <v>0</v>
      </c>
      <c r="K520" s="309"/>
      <c r="L520" s="309">
        <v>0</v>
      </c>
      <c r="M520" s="368">
        <f t="shared" si="57"/>
        <v>0</v>
      </c>
      <c r="O520" s="1">
        <v>0</v>
      </c>
      <c r="P520" s="309"/>
      <c r="Q520" s="309">
        <v>0</v>
      </c>
      <c r="R520" s="368">
        <f t="shared" si="58"/>
        <v>0</v>
      </c>
    </row>
    <row r="521" spans="2:18" x14ac:dyDescent="0.3">
      <c r="B521" s="54" t="s">
        <v>1550</v>
      </c>
      <c r="C521" s="54" t="s">
        <v>27</v>
      </c>
      <c r="E521" s="1">
        <v>0</v>
      </c>
      <c r="F521" s="309"/>
      <c r="G521" s="309">
        <v>0</v>
      </c>
      <c r="H521" s="368">
        <f t="shared" si="56"/>
        <v>0</v>
      </c>
      <c r="J521" s="1">
        <v>0</v>
      </c>
      <c r="K521" s="309"/>
      <c r="L521" s="309">
        <v>0</v>
      </c>
      <c r="M521" s="368">
        <f t="shared" si="57"/>
        <v>0</v>
      </c>
      <c r="O521" s="1">
        <v>0</v>
      </c>
      <c r="P521" s="309"/>
      <c r="Q521" s="309">
        <v>0</v>
      </c>
      <c r="R521" s="368">
        <f t="shared" si="58"/>
        <v>0</v>
      </c>
    </row>
    <row r="522" spans="2:18" x14ac:dyDescent="0.3">
      <c r="B522" s="54" t="s">
        <v>1550</v>
      </c>
      <c r="C522" s="54" t="s">
        <v>1469</v>
      </c>
      <c r="E522" s="1">
        <v>0</v>
      </c>
      <c r="F522" s="309"/>
      <c r="G522" s="309">
        <v>0</v>
      </c>
      <c r="H522" s="368">
        <f t="shared" si="56"/>
        <v>0</v>
      </c>
      <c r="J522" s="1">
        <v>0</v>
      </c>
      <c r="K522" s="309"/>
      <c r="L522" s="309">
        <v>0</v>
      </c>
      <c r="M522" s="368">
        <f t="shared" si="57"/>
        <v>0</v>
      </c>
      <c r="O522" s="1">
        <v>0</v>
      </c>
      <c r="P522" s="309"/>
      <c r="Q522" s="309">
        <v>0</v>
      </c>
      <c r="R522" s="368">
        <f t="shared" si="58"/>
        <v>0</v>
      </c>
    </row>
    <row r="523" spans="2:18" x14ac:dyDescent="0.3">
      <c r="B523" s="54" t="s">
        <v>1550</v>
      </c>
      <c r="C523" s="54" t="s">
        <v>26</v>
      </c>
      <c r="E523" s="1">
        <v>446800</v>
      </c>
      <c r="F523" s="309">
        <v>47869</v>
      </c>
      <c r="G523" s="309">
        <v>2138800</v>
      </c>
      <c r="H523" s="368">
        <f t="shared" si="56"/>
        <v>2.7705818171813996E-3</v>
      </c>
      <c r="J523" s="1">
        <v>417200</v>
      </c>
      <c r="K523" s="309">
        <v>34314</v>
      </c>
      <c r="L523" s="309">
        <v>1431600</v>
      </c>
      <c r="M523" s="368">
        <f t="shared" si="57"/>
        <v>1.9527112585605438E-3</v>
      </c>
      <c r="O523" s="1">
        <v>492700</v>
      </c>
      <c r="P523" s="309">
        <v>48123</v>
      </c>
      <c r="Q523" s="309">
        <v>2371000</v>
      </c>
      <c r="R523" s="368">
        <f t="shared" si="58"/>
        <v>3.0975751065057959E-3</v>
      </c>
    </row>
    <row r="524" spans="2:18" x14ac:dyDescent="0.3">
      <c r="B524" s="54" t="s">
        <v>1551</v>
      </c>
      <c r="C524" s="54" t="s">
        <v>24</v>
      </c>
      <c r="E524" s="1">
        <v>1078</v>
      </c>
      <c r="F524" s="309">
        <v>45121</v>
      </c>
      <c r="G524" s="309">
        <v>4864</v>
      </c>
      <c r="H524" s="368">
        <f t="shared" si="56"/>
        <v>4.2912176450493651E-6</v>
      </c>
      <c r="J524" s="1">
        <v>936</v>
      </c>
      <c r="K524" s="309">
        <v>38130</v>
      </c>
      <c r="L524" s="309">
        <v>3569</v>
      </c>
      <c r="M524" s="368">
        <f t="shared" si="57"/>
        <v>3.1845306980487899E-6</v>
      </c>
      <c r="O524" s="1">
        <v>1000</v>
      </c>
      <c r="P524" s="309">
        <v>30000</v>
      </c>
      <c r="Q524" s="309">
        <v>3000</v>
      </c>
      <c r="R524" s="368">
        <f t="shared" si="58"/>
        <v>2.6185837546005408E-6</v>
      </c>
    </row>
    <row r="525" spans="2:18" x14ac:dyDescent="0.3">
      <c r="B525" s="54" t="s">
        <v>1551</v>
      </c>
      <c r="C525" s="54" t="s">
        <v>25</v>
      </c>
      <c r="E525" s="1">
        <v>22284</v>
      </c>
      <c r="F525" s="309">
        <v>292552</v>
      </c>
      <c r="G525" s="309">
        <v>651922</v>
      </c>
      <c r="H525" s="368">
        <f t="shared" si="56"/>
        <v>1.7642714302700715E-3</v>
      </c>
      <c r="J525" s="1">
        <v>23429</v>
      </c>
      <c r="K525" s="309">
        <v>275684</v>
      </c>
      <c r="L525" s="309">
        <v>645901</v>
      </c>
      <c r="M525" s="368">
        <f t="shared" si="57"/>
        <v>1.7711344049216435E-3</v>
      </c>
      <c r="O525" s="1">
        <v>21009</v>
      </c>
      <c r="P525" s="309">
        <v>272316</v>
      </c>
      <c r="Q525" s="309">
        <v>572109</v>
      </c>
      <c r="R525" s="368">
        <f t="shared" si="58"/>
        <v>1.5470065471039872E-3</v>
      </c>
    </row>
    <row r="526" spans="2:18" x14ac:dyDescent="0.3">
      <c r="B526" s="54" t="s">
        <v>1551</v>
      </c>
      <c r="C526" s="54" t="s">
        <v>1469</v>
      </c>
      <c r="E526" s="1">
        <v>160</v>
      </c>
      <c r="F526" s="309">
        <v>283875</v>
      </c>
      <c r="G526" s="309">
        <v>4542</v>
      </c>
      <c r="H526" s="368">
        <f t="shared" si="56"/>
        <v>1.4465456385053404E-5</v>
      </c>
      <c r="J526" s="1">
        <v>168</v>
      </c>
      <c r="K526" s="309">
        <v>270357</v>
      </c>
      <c r="L526" s="309">
        <v>4542</v>
      </c>
      <c r="M526" s="368">
        <f t="shared" si="57"/>
        <v>1.6594099267633566E-5</v>
      </c>
      <c r="O526" s="1">
        <v>177</v>
      </c>
      <c r="P526" s="309">
        <v>256610</v>
      </c>
      <c r="Q526" s="309">
        <v>4542</v>
      </c>
      <c r="R526" s="368">
        <f t="shared" si="58"/>
        <v>1.6308915418345226E-5</v>
      </c>
    </row>
    <row r="527" spans="2:18" x14ac:dyDescent="0.3">
      <c r="B527" s="54" t="s">
        <v>1551</v>
      </c>
      <c r="C527" s="54" t="s">
        <v>26</v>
      </c>
      <c r="E527" s="1">
        <v>41715</v>
      </c>
      <c r="F527" s="309">
        <v>30156</v>
      </c>
      <c r="G527" s="309">
        <v>125797</v>
      </c>
      <c r="H527" s="368">
        <f t="shared" si="56"/>
        <v>1.6295627494668436E-4</v>
      </c>
      <c r="J527" s="1">
        <v>40000</v>
      </c>
      <c r="K527" s="309">
        <v>32500</v>
      </c>
      <c r="L527" s="309">
        <v>130000</v>
      </c>
      <c r="M527" s="368">
        <f t="shared" si="57"/>
        <v>1.7732080442363137E-4</v>
      </c>
      <c r="O527" s="1">
        <v>41000</v>
      </c>
      <c r="P527" s="309">
        <v>31707</v>
      </c>
      <c r="Q527" s="309">
        <v>130000</v>
      </c>
      <c r="R527" s="368">
        <f t="shared" si="58"/>
        <v>1.6983752165573743E-4</v>
      </c>
    </row>
    <row r="528" spans="2:18" x14ac:dyDescent="0.3">
      <c r="B528" s="54" t="s">
        <v>1552</v>
      </c>
      <c r="C528" s="54" t="s">
        <v>24</v>
      </c>
      <c r="E528" s="1">
        <v>165882</v>
      </c>
      <c r="F528" s="309">
        <v>10409</v>
      </c>
      <c r="G528" s="309">
        <v>172666</v>
      </c>
      <c r="H528" s="368">
        <f t="shared" si="56"/>
        <v>1.5233293295643374E-4</v>
      </c>
      <c r="J528" s="1">
        <v>134933</v>
      </c>
      <c r="K528" s="309">
        <v>8152</v>
      </c>
      <c r="L528" s="309">
        <v>110000</v>
      </c>
      <c r="M528" s="368">
        <f t="shared" si="57"/>
        <v>9.8150287695535689E-5</v>
      </c>
      <c r="O528" s="1">
        <v>50202</v>
      </c>
      <c r="P528" s="309">
        <v>6972</v>
      </c>
      <c r="Q528" s="309">
        <v>35000</v>
      </c>
      <c r="R528" s="368">
        <f t="shared" si="58"/>
        <v>3.0550143803672973E-5</v>
      </c>
    </row>
    <row r="529" spans="2:18" x14ac:dyDescent="0.3">
      <c r="B529" s="54" t="s">
        <v>1552</v>
      </c>
      <c r="C529" s="54" t="s">
        <v>25</v>
      </c>
      <c r="E529" s="1">
        <v>7483</v>
      </c>
      <c r="F529" s="309">
        <v>169197</v>
      </c>
      <c r="G529" s="309">
        <v>126610</v>
      </c>
      <c r="H529" s="368">
        <f t="shared" si="56"/>
        <v>3.4263977252875922E-4</v>
      </c>
      <c r="J529" s="1">
        <v>7583</v>
      </c>
      <c r="K529" s="309">
        <v>169557</v>
      </c>
      <c r="L529" s="309">
        <v>128575</v>
      </c>
      <c r="M529" s="368">
        <f t="shared" si="57"/>
        <v>3.5256735337582738E-4</v>
      </c>
      <c r="O529" s="1">
        <v>7683</v>
      </c>
      <c r="P529" s="309">
        <v>169908</v>
      </c>
      <c r="Q529" s="309">
        <v>130540</v>
      </c>
      <c r="R529" s="368">
        <f t="shared" si="58"/>
        <v>3.5298559305823625E-4</v>
      </c>
    </row>
    <row r="530" spans="2:18" x14ac:dyDescent="0.3">
      <c r="B530" s="54" t="s">
        <v>1552</v>
      </c>
      <c r="C530" s="54" t="s">
        <v>26</v>
      </c>
      <c r="E530" s="1">
        <v>6843</v>
      </c>
      <c r="F530" s="309">
        <v>12934</v>
      </c>
      <c r="G530" s="309">
        <v>8851</v>
      </c>
      <c r="H530" s="368">
        <f t="shared" si="56"/>
        <v>1.1465503863789306E-5</v>
      </c>
      <c r="J530" s="1">
        <v>8126</v>
      </c>
      <c r="K530" s="309">
        <v>11076</v>
      </c>
      <c r="L530" s="309">
        <v>9000</v>
      </c>
      <c r="M530" s="368">
        <f t="shared" si="57"/>
        <v>1.2276055690866788E-5</v>
      </c>
      <c r="O530" s="1">
        <v>2244</v>
      </c>
      <c r="P530" s="309">
        <v>8913</v>
      </c>
      <c r="Q530" s="309">
        <v>2000</v>
      </c>
      <c r="R530" s="368">
        <f t="shared" si="58"/>
        <v>2.6128849485498066E-6</v>
      </c>
    </row>
    <row r="531" spans="2:18" x14ac:dyDescent="0.3">
      <c r="B531" s="54" t="s">
        <v>1553</v>
      </c>
      <c r="C531" s="54" t="s">
        <v>28</v>
      </c>
      <c r="E531" s="1">
        <v>60960</v>
      </c>
      <c r="F531" s="309">
        <v>88255</v>
      </c>
      <c r="G531" s="309">
        <v>538000</v>
      </c>
      <c r="H531" s="368">
        <f t="shared" si="56"/>
        <v>1.9025918117074056E-3</v>
      </c>
      <c r="J531" s="1">
        <v>65286</v>
      </c>
      <c r="K531" s="309">
        <v>88650</v>
      </c>
      <c r="L531" s="309">
        <v>578760</v>
      </c>
      <c r="M531" s="368">
        <f t="shared" si="57"/>
        <v>1.9909182329475813E-3</v>
      </c>
      <c r="O531" s="1">
        <v>65828</v>
      </c>
      <c r="P531" s="309">
        <v>84800</v>
      </c>
      <c r="Q531" s="309">
        <v>558222</v>
      </c>
      <c r="R531" s="368">
        <f t="shared" si="58"/>
        <v>1.8652265600106529E-3</v>
      </c>
    </row>
    <row r="532" spans="2:18" x14ac:dyDescent="0.3">
      <c r="B532" s="54" t="s">
        <v>1553</v>
      </c>
      <c r="C532" s="54" t="s">
        <v>1472</v>
      </c>
      <c r="E532" s="1">
        <v>17717</v>
      </c>
      <c r="F532" s="309">
        <v>99904</v>
      </c>
      <c r="G532" s="309">
        <v>177000</v>
      </c>
      <c r="H532" s="368">
        <f t="shared" si="56"/>
        <v>4.4217369681500112E-4</v>
      </c>
      <c r="J532" s="1">
        <v>17659</v>
      </c>
      <c r="K532" s="309">
        <v>99666</v>
      </c>
      <c r="L532" s="309">
        <v>176000</v>
      </c>
      <c r="M532" s="368">
        <f t="shared" si="57"/>
        <v>4.360933406653839E-4</v>
      </c>
      <c r="O532" s="1">
        <v>17713</v>
      </c>
      <c r="P532" s="309">
        <v>99429</v>
      </c>
      <c r="Q532" s="309">
        <v>176119</v>
      </c>
      <c r="R532" s="368">
        <f t="shared" si="58"/>
        <v>4.2882984798913354E-4</v>
      </c>
    </row>
    <row r="533" spans="2:18" x14ac:dyDescent="0.3">
      <c r="B533" s="54" t="s">
        <v>1553</v>
      </c>
      <c r="C533" s="54" t="s">
        <v>1468</v>
      </c>
      <c r="E533" s="1">
        <v>233590</v>
      </c>
      <c r="F533" s="309">
        <v>10595</v>
      </c>
      <c r="G533" s="309">
        <v>247495</v>
      </c>
      <c r="H533" s="368">
        <f t="shared" si="56"/>
        <v>3.4911171391751965E-4</v>
      </c>
      <c r="J533" s="1">
        <v>238090</v>
      </c>
      <c r="K533" s="309">
        <v>10836</v>
      </c>
      <c r="L533" s="309">
        <v>257995</v>
      </c>
      <c r="M533" s="368">
        <f t="shared" si="57"/>
        <v>3.5895055055225913E-4</v>
      </c>
      <c r="O533" s="1">
        <v>240000</v>
      </c>
      <c r="P533" s="309">
        <v>7083</v>
      </c>
      <c r="Q533" s="309">
        <v>170000</v>
      </c>
      <c r="R533" s="368">
        <f t="shared" si="58"/>
        <v>2.3876600604438674E-4</v>
      </c>
    </row>
    <row r="534" spans="2:18" x14ac:dyDescent="0.3">
      <c r="B534" s="54" t="s">
        <v>1553</v>
      </c>
      <c r="C534" s="54" t="s">
        <v>27</v>
      </c>
      <c r="E534" s="1">
        <v>7651</v>
      </c>
      <c r="F534" s="309">
        <v>4280</v>
      </c>
      <c r="G534" s="309">
        <v>3275</v>
      </c>
      <c r="H534" s="368">
        <f t="shared" si="56"/>
        <v>9.1214798096155818E-6</v>
      </c>
      <c r="J534" s="1">
        <v>7667</v>
      </c>
      <c r="K534" s="309">
        <v>4296</v>
      </c>
      <c r="L534" s="309">
        <v>3294</v>
      </c>
      <c r="M534" s="368">
        <f t="shared" si="57"/>
        <v>9.5703386581130661E-6</v>
      </c>
      <c r="O534" s="1">
        <v>7684</v>
      </c>
      <c r="P534" s="309">
        <v>4310</v>
      </c>
      <c r="Q534" s="309">
        <v>3312</v>
      </c>
      <c r="R534" s="368">
        <f t="shared" si="58"/>
        <v>9.9377599176548574E-6</v>
      </c>
    </row>
    <row r="535" spans="2:18" x14ac:dyDescent="0.3">
      <c r="B535" s="54" t="s">
        <v>1553</v>
      </c>
      <c r="C535" s="54" t="s">
        <v>1470</v>
      </c>
      <c r="E535" s="1">
        <v>26621</v>
      </c>
      <c r="F535" s="309">
        <v>101846</v>
      </c>
      <c r="G535" s="309">
        <v>271123</v>
      </c>
      <c r="H535" s="368">
        <f t="shared" si="56"/>
        <v>1.4984334102336597E-4</v>
      </c>
      <c r="J535" s="1">
        <v>26717</v>
      </c>
      <c r="K535" s="309">
        <v>101835</v>
      </c>
      <c r="L535" s="309">
        <v>272072</v>
      </c>
      <c r="M535" s="368">
        <f t="shared" si="57"/>
        <v>1.4286878515710653E-4</v>
      </c>
      <c r="O535" s="1">
        <v>26814</v>
      </c>
      <c r="P535" s="309">
        <v>101821</v>
      </c>
      <c r="Q535" s="309">
        <v>273022</v>
      </c>
      <c r="R535" s="368">
        <f t="shared" si="58"/>
        <v>1.4179395270931582E-4</v>
      </c>
    </row>
    <row r="536" spans="2:18" x14ac:dyDescent="0.3">
      <c r="B536" s="54" t="s">
        <v>1554</v>
      </c>
      <c r="C536" s="54" t="s">
        <v>24</v>
      </c>
      <c r="E536" s="1">
        <v>1542</v>
      </c>
      <c r="F536" s="309">
        <v>22594</v>
      </c>
      <c r="G536" s="309">
        <v>3484</v>
      </c>
      <c r="H536" s="368">
        <f t="shared" si="56"/>
        <v>3.0737257967417737E-6</v>
      </c>
      <c r="J536" s="1">
        <v>1560</v>
      </c>
      <c r="K536" s="309">
        <v>22744</v>
      </c>
      <c r="L536" s="309">
        <v>3548</v>
      </c>
      <c r="M536" s="368">
        <f t="shared" si="57"/>
        <v>3.1657929158523693E-6</v>
      </c>
      <c r="O536" s="1">
        <v>1579</v>
      </c>
      <c r="P536" s="309">
        <v>22882</v>
      </c>
      <c r="Q536" s="309">
        <v>3613</v>
      </c>
      <c r="R536" s="368">
        <f t="shared" si="58"/>
        <v>3.1536477017905844E-6</v>
      </c>
    </row>
    <row r="537" spans="2:18" x14ac:dyDescent="0.3">
      <c r="B537" s="54" t="s">
        <v>1554</v>
      </c>
      <c r="C537" s="54" t="s">
        <v>25</v>
      </c>
      <c r="E537" s="1">
        <v>17415</v>
      </c>
      <c r="F537" s="309">
        <v>197207</v>
      </c>
      <c r="G537" s="309">
        <v>343436</v>
      </c>
      <c r="H537" s="368">
        <f t="shared" si="56"/>
        <v>9.2942763540152396E-4</v>
      </c>
      <c r="J537" s="1">
        <v>17911</v>
      </c>
      <c r="K537" s="309">
        <v>199648</v>
      </c>
      <c r="L537" s="309">
        <v>357589</v>
      </c>
      <c r="M537" s="368">
        <f t="shared" si="57"/>
        <v>9.8054993059544038E-4</v>
      </c>
      <c r="O537" s="1">
        <v>18147</v>
      </c>
      <c r="P537" s="309">
        <v>198081</v>
      </c>
      <c r="Q537" s="309">
        <v>359457</v>
      </c>
      <c r="R537" s="368">
        <f t="shared" si="58"/>
        <v>9.7198668855472982E-4</v>
      </c>
    </row>
    <row r="538" spans="2:18" x14ac:dyDescent="0.3">
      <c r="B538" s="54" t="s">
        <v>1554</v>
      </c>
      <c r="C538" s="54" t="s">
        <v>26</v>
      </c>
      <c r="E538" s="1">
        <v>180588</v>
      </c>
      <c r="F538" s="309">
        <v>7752</v>
      </c>
      <c r="G538" s="309">
        <v>140000</v>
      </c>
      <c r="H538" s="368">
        <f t="shared" si="56"/>
        <v>1.8135471030736672E-4</v>
      </c>
      <c r="J538" s="1">
        <v>180762</v>
      </c>
      <c r="K538" s="309">
        <v>7745</v>
      </c>
      <c r="L538" s="309">
        <v>140000</v>
      </c>
      <c r="M538" s="368">
        <f t="shared" si="57"/>
        <v>1.9096086630237226E-4</v>
      </c>
      <c r="O538" s="1">
        <v>180937</v>
      </c>
      <c r="P538" s="309">
        <v>7737</v>
      </c>
      <c r="Q538" s="309">
        <v>140000</v>
      </c>
      <c r="R538" s="368">
        <f t="shared" si="58"/>
        <v>1.8290194639848645E-4</v>
      </c>
    </row>
    <row r="539" spans="2:18" x14ac:dyDescent="0.3">
      <c r="B539" s="54" t="s">
        <v>1555</v>
      </c>
      <c r="C539" s="54" t="s">
        <v>24</v>
      </c>
      <c r="E539" s="1">
        <v>9929</v>
      </c>
      <c r="F539" s="309">
        <v>57381</v>
      </c>
      <c r="G539" s="309">
        <v>56974</v>
      </c>
      <c r="H539" s="368">
        <f t="shared" si="56"/>
        <v>5.0264768525707759E-5</v>
      </c>
      <c r="J539" s="1">
        <v>13390</v>
      </c>
      <c r="K539" s="309">
        <v>65414</v>
      </c>
      <c r="L539" s="309">
        <v>87590</v>
      </c>
      <c r="M539" s="368">
        <f t="shared" si="57"/>
        <v>7.8154397265927007E-5</v>
      </c>
      <c r="O539" s="1">
        <v>12770</v>
      </c>
      <c r="P539" s="309">
        <v>76719</v>
      </c>
      <c r="Q539" s="309">
        <v>97970</v>
      </c>
      <c r="R539" s="368">
        <f t="shared" si="58"/>
        <v>8.5514216812738331E-5</v>
      </c>
    </row>
    <row r="540" spans="2:18" x14ac:dyDescent="0.3">
      <c r="B540" s="54" t="s">
        <v>1555</v>
      </c>
      <c r="C540" s="54" t="s">
        <v>25</v>
      </c>
      <c r="E540" s="1">
        <v>19351</v>
      </c>
      <c r="F540" s="309">
        <v>122498</v>
      </c>
      <c r="G540" s="309">
        <v>237045</v>
      </c>
      <c r="H540" s="368">
        <f t="shared" si="56"/>
        <v>6.4150576478224253E-4</v>
      </c>
      <c r="J540" s="1">
        <v>18690</v>
      </c>
      <c r="K540" s="309">
        <v>155056</v>
      </c>
      <c r="L540" s="309">
        <v>289800</v>
      </c>
      <c r="M540" s="368">
        <f t="shared" si="57"/>
        <v>7.9466474048854585E-4</v>
      </c>
      <c r="O540" s="1">
        <v>18220</v>
      </c>
      <c r="P540" s="309">
        <v>180999</v>
      </c>
      <c r="Q540" s="309">
        <v>329780</v>
      </c>
      <c r="R540" s="368">
        <f t="shared" si="58"/>
        <v>8.9173884540175543E-4</v>
      </c>
    </row>
    <row r="541" spans="2:18" x14ac:dyDescent="0.3">
      <c r="B541" s="54" t="s">
        <v>1555</v>
      </c>
      <c r="C541" s="54" t="s">
        <v>1468</v>
      </c>
      <c r="E541" s="1"/>
      <c r="F541" s="309"/>
      <c r="G541" s="309"/>
      <c r="H541" s="368">
        <f t="shared" si="56"/>
        <v>0</v>
      </c>
      <c r="J541" s="1">
        <v>0</v>
      </c>
      <c r="K541" s="309"/>
      <c r="L541" s="309">
        <v>0</v>
      </c>
      <c r="M541" s="368">
        <f t="shared" si="57"/>
        <v>0</v>
      </c>
      <c r="O541" s="1">
        <v>0</v>
      </c>
      <c r="P541" s="309"/>
      <c r="Q541" s="309">
        <v>0</v>
      </c>
      <c r="R541" s="368">
        <f t="shared" si="58"/>
        <v>0</v>
      </c>
    </row>
    <row r="542" spans="2:18" x14ac:dyDescent="0.3">
      <c r="B542" s="54" t="s">
        <v>1555</v>
      </c>
      <c r="C542" s="54" t="s">
        <v>27</v>
      </c>
      <c r="E542" s="1"/>
      <c r="F542" s="309"/>
      <c r="G542" s="309"/>
      <c r="H542" s="368">
        <f t="shared" si="56"/>
        <v>0</v>
      </c>
      <c r="J542" s="1">
        <v>1920</v>
      </c>
      <c r="K542" s="309">
        <v>17969</v>
      </c>
      <c r="L542" s="309">
        <v>3450</v>
      </c>
      <c r="M542" s="368">
        <f t="shared" si="57"/>
        <v>1.0023578740282355E-5</v>
      </c>
      <c r="O542" s="1">
        <v>1820</v>
      </c>
      <c r="P542" s="309">
        <v>12692</v>
      </c>
      <c r="Q542" s="309">
        <v>2310</v>
      </c>
      <c r="R542" s="368">
        <f t="shared" si="58"/>
        <v>6.9312274787991304E-6</v>
      </c>
    </row>
    <row r="543" spans="2:18" x14ac:dyDescent="0.3">
      <c r="B543" s="54" t="s">
        <v>1555</v>
      </c>
      <c r="C543" s="54" t="s">
        <v>1469</v>
      </c>
      <c r="E543" s="1">
        <v>17146</v>
      </c>
      <c r="F543" s="309">
        <v>558117</v>
      </c>
      <c r="G543" s="309">
        <v>956947</v>
      </c>
      <c r="H543" s="368">
        <f t="shared" si="56"/>
        <v>3.0477047757172392E-3</v>
      </c>
      <c r="J543" s="1">
        <v>15540</v>
      </c>
      <c r="K543" s="309">
        <v>571828</v>
      </c>
      <c r="L543" s="309">
        <v>888620</v>
      </c>
      <c r="M543" s="368">
        <f t="shared" si="57"/>
        <v>3.2465540491423473E-3</v>
      </c>
      <c r="O543" s="1">
        <v>14120</v>
      </c>
      <c r="P543" s="309">
        <v>709356</v>
      </c>
      <c r="Q543" s="309">
        <v>1001610</v>
      </c>
      <c r="R543" s="368">
        <f t="shared" si="58"/>
        <v>3.5964713280864729E-3</v>
      </c>
    </row>
    <row r="544" spans="2:18" x14ac:dyDescent="0.3">
      <c r="B544" s="54" t="s">
        <v>1555</v>
      </c>
      <c r="C544" s="54" t="s">
        <v>26</v>
      </c>
      <c r="E544" s="1">
        <v>811947</v>
      </c>
      <c r="F544" s="309">
        <v>48247</v>
      </c>
      <c r="G544" s="309">
        <v>3917372</v>
      </c>
      <c r="H544" s="368">
        <f t="shared" si="56"/>
        <v>5.0745276016156415E-3</v>
      </c>
      <c r="J544" s="1">
        <v>772890</v>
      </c>
      <c r="K544" s="309">
        <v>36731</v>
      </c>
      <c r="L544" s="309">
        <v>2838900</v>
      </c>
      <c r="M544" s="368">
        <f t="shared" si="57"/>
        <v>3.8722771667557472E-3</v>
      </c>
      <c r="O544" s="1">
        <v>895760</v>
      </c>
      <c r="P544" s="309">
        <v>42912</v>
      </c>
      <c r="Q544" s="309">
        <v>3843850</v>
      </c>
      <c r="R544" s="368">
        <f t="shared" si="58"/>
        <v>5.0217689047415874E-3</v>
      </c>
    </row>
    <row r="545" spans="2:18" x14ac:dyDescent="0.3">
      <c r="B545" s="54" t="s">
        <v>1556</v>
      </c>
      <c r="C545" s="54" t="s">
        <v>24</v>
      </c>
      <c r="E545" s="1">
        <v>81</v>
      </c>
      <c r="F545" s="309">
        <v>85802</v>
      </c>
      <c r="G545" s="309">
        <v>695</v>
      </c>
      <c r="H545" s="368">
        <f t="shared" si="56"/>
        <v>6.1315712650273621E-7</v>
      </c>
      <c r="J545" s="1">
        <v>90</v>
      </c>
      <c r="K545" s="309">
        <v>51111</v>
      </c>
      <c r="L545" s="309">
        <v>460</v>
      </c>
      <c r="M545" s="368">
        <f t="shared" si="57"/>
        <v>4.1044665763587655E-7</v>
      </c>
      <c r="O545" s="1">
        <v>140</v>
      </c>
      <c r="P545" s="309">
        <v>47143</v>
      </c>
      <c r="Q545" s="309">
        <v>660</v>
      </c>
      <c r="R545" s="368">
        <f t="shared" si="58"/>
        <v>5.7608842601211895E-7</v>
      </c>
    </row>
    <row r="546" spans="2:18" x14ac:dyDescent="0.3">
      <c r="B546" s="54" t="s">
        <v>1556</v>
      </c>
      <c r="C546" s="54" t="s">
        <v>25</v>
      </c>
      <c r="E546" s="1">
        <v>622</v>
      </c>
      <c r="F546" s="309">
        <v>342186</v>
      </c>
      <c r="G546" s="309">
        <v>21284</v>
      </c>
      <c r="H546" s="368">
        <f t="shared" si="56"/>
        <v>5.7600070440740159E-5</v>
      </c>
      <c r="J546" s="1">
        <v>630</v>
      </c>
      <c r="K546" s="309">
        <v>257302</v>
      </c>
      <c r="L546" s="309">
        <v>16210</v>
      </c>
      <c r="M546" s="368">
        <f t="shared" si="57"/>
        <v>4.4449673717457996E-5</v>
      </c>
      <c r="O546" s="1">
        <v>600</v>
      </c>
      <c r="P546" s="309">
        <v>255500</v>
      </c>
      <c r="Q546" s="309">
        <v>15330</v>
      </c>
      <c r="R546" s="368">
        <f t="shared" si="58"/>
        <v>4.1452958032654837E-5</v>
      </c>
    </row>
    <row r="547" spans="2:18" x14ac:dyDescent="0.3">
      <c r="B547" s="54" t="s">
        <v>1556</v>
      </c>
      <c r="C547" s="54" t="s">
        <v>1468</v>
      </c>
      <c r="E547" s="1"/>
      <c r="F547" s="309"/>
      <c r="G547" s="309"/>
      <c r="H547" s="368">
        <f t="shared" si="56"/>
        <v>0</v>
      </c>
      <c r="J547" s="1">
        <v>0</v>
      </c>
      <c r="K547" s="309"/>
      <c r="L547" s="309">
        <v>0</v>
      </c>
      <c r="M547" s="368">
        <f t="shared" si="57"/>
        <v>0</v>
      </c>
      <c r="O547" s="1">
        <v>0</v>
      </c>
      <c r="P547" s="309"/>
      <c r="Q547" s="309">
        <v>0</v>
      </c>
      <c r="R547" s="368">
        <f t="shared" si="58"/>
        <v>0</v>
      </c>
    </row>
    <row r="548" spans="2:18" x14ac:dyDescent="0.3">
      <c r="B548" s="54" t="s">
        <v>1556</v>
      </c>
      <c r="C548" s="54" t="s">
        <v>1469</v>
      </c>
      <c r="E548" s="1"/>
      <c r="F548" s="309"/>
      <c r="G548" s="309"/>
      <c r="H548" s="368">
        <f t="shared" si="56"/>
        <v>0</v>
      </c>
      <c r="J548" s="1">
        <v>0</v>
      </c>
      <c r="K548" s="309"/>
      <c r="L548" s="309">
        <v>0</v>
      </c>
      <c r="M548" s="368">
        <f t="shared" si="57"/>
        <v>0</v>
      </c>
      <c r="O548" s="1">
        <v>0</v>
      </c>
      <c r="P548" s="309"/>
      <c r="Q548" s="309">
        <v>0</v>
      </c>
      <c r="R548" s="368">
        <f t="shared" si="58"/>
        <v>0</v>
      </c>
    </row>
    <row r="549" spans="2:18" x14ac:dyDescent="0.3">
      <c r="B549" s="54" t="s">
        <v>1556</v>
      </c>
      <c r="C549" s="54" t="s">
        <v>26</v>
      </c>
      <c r="E549" s="1">
        <v>14185</v>
      </c>
      <c r="F549" s="309">
        <v>54833</v>
      </c>
      <c r="G549" s="309">
        <v>77781</v>
      </c>
      <c r="H549" s="368">
        <f t="shared" si="56"/>
        <v>1.0075679087440922E-4</v>
      </c>
      <c r="J549" s="1">
        <v>12870</v>
      </c>
      <c r="K549" s="309">
        <v>61888</v>
      </c>
      <c r="L549" s="309">
        <v>79650</v>
      </c>
      <c r="M549" s="368">
        <f t="shared" si="57"/>
        <v>1.0864309286417107E-4</v>
      </c>
      <c r="O549" s="1">
        <v>13360</v>
      </c>
      <c r="P549" s="309">
        <v>61572</v>
      </c>
      <c r="Q549" s="309">
        <v>82260</v>
      </c>
      <c r="R549" s="368">
        <f t="shared" si="58"/>
        <v>1.0746795793385354E-4</v>
      </c>
    </row>
    <row r="550" spans="2:18" x14ac:dyDescent="0.3">
      <c r="B550" s="54" t="s">
        <v>1557</v>
      </c>
      <c r="C550" s="54" t="s">
        <v>28</v>
      </c>
      <c r="E550" s="1">
        <v>319797</v>
      </c>
      <c r="F550" s="309">
        <v>78885</v>
      </c>
      <c r="G550" s="309">
        <v>2522722</v>
      </c>
      <c r="H550" s="368">
        <f t="shared" si="56"/>
        <v>8.9213944617363011E-3</v>
      </c>
      <c r="J550" s="1">
        <v>314255</v>
      </c>
      <c r="K550" s="309">
        <v>79553</v>
      </c>
      <c r="L550" s="309">
        <v>2500000</v>
      </c>
      <c r="M550" s="368">
        <f t="shared" si="57"/>
        <v>8.5999301651270878E-3</v>
      </c>
      <c r="O550" s="1">
        <v>363227</v>
      </c>
      <c r="P550" s="309">
        <v>80222</v>
      </c>
      <c r="Q550" s="309">
        <v>2913862</v>
      </c>
      <c r="R550" s="368">
        <f t="shared" si="58"/>
        <v>9.7362927197526452E-3</v>
      </c>
    </row>
    <row r="551" spans="2:18" x14ac:dyDescent="0.3">
      <c r="B551" s="54" t="s">
        <v>1557</v>
      </c>
      <c r="C551" s="54" t="s">
        <v>24</v>
      </c>
      <c r="E551" s="1">
        <v>164562</v>
      </c>
      <c r="F551" s="309">
        <v>17105</v>
      </c>
      <c r="G551" s="309">
        <v>281487</v>
      </c>
      <c r="H551" s="368">
        <f t="shared" si="56"/>
        <v>2.4833922311924561E-4</v>
      </c>
      <c r="J551" s="1">
        <v>124753</v>
      </c>
      <c r="K551" s="309">
        <v>17234</v>
      </c>
      <c r="L551" s="309">
        <v>215000</v>
      </c>
      <c r="M551" s="368">
        <f t="shared" si="57"/>
        <v>1.9183919867763794E-4</v>
      </c>
      <c r="O551" s="1">
        <v>126258</v>
      </c>
      <c r="P551" s="309">
        <v>17363</v>
      </c>
      <c r="Q551" s="309">
        <v>219220</v>
      </c>
      <c r="R551" s="368">
        <f t="shared" si="58"/>
        <v>1.9134864356117685E-4</v>
      </c>
    </row>
    <row r="552" spans="2:18" x14ac:dyDescent="0.3">
      <c r="B552" s="54" t="s">
        <v>1557</v>
      </c>
      <c r="C552" s="54" t="s">
        <v>1472</v>
      </c>
      <c r="E552" s="1">
        <v>1816</v>
      </c>
      <c r="F552" s="309">
        <v>116316</v>
      </c>
      <c r="G552" s="309">
        <v>21123</v>
      </c>
      <c r="H552" s="368">
        <f t="shared" si="56"/>
        <v>5.2768559309735984E-5</v>
      </c>
      <c r="J552" s="1">
        <v>1817</v>
      </c>
      <c r="K552" s="309">
        <v>116192</v>
      </c>
      <c r="L552" s="309">
        <v>21112</v>
      </c>
      <c r="M552" s="368">
        <f t="shared" si="57"/>
        <v>5.2311378455270365E-5</v>
      </c>
      <c r="O552" s="1">
        <v>1817</v>
      </c>
      <c r="P552" s="309">
        <v>116131</v>
      </c>
      <c r="Q552" s="309">
        <v>21101</v>
      </c>
      <c r="R552" s="368">
        <f t="shared" si="58"/>
        <v>5.1378548722277023E-5</v>
      </c>
    </row>
    <row r="553" spans="2:18" x14ac:dyDescent="0.3">
      <c r="B553" s="54" t="s">
        <v>1557</v>
      </c>
      <c r="C553" s="54" t="s">
        <v>25</v>
      </c>
      <c r="E553" s="1">
        <v>41715</v>
      </c>
      <c r="F553" s="309">
        <v>59969</v>
      </c>
      <c r="G553" s="309">
        <v>250160</v>
      </c>
      <c r="H553" s="368">
        <f t="shared" si="56"/>
        <v>6.7699838477051108E-4</v>
      </c>
      <c r="J553" s="1">
        <v>42819</v>
      </c>
      <c r="K553" s="309">
        <v>60109</v>
      </c>
      <c r="L553" s="309">
        <v>257379</v>
      </c>
      <c r="M553" s="368">
        <f t="shared" si="57"/>
        <v>7.0576265093927348E-4</v>
      </c>
      <c r="O553" s="1">
        <v>41495</v>
      </c>
      <c r="P553" s="309">
        <v>60248</v>
      </c>
      <c r="Q553" s="309">
        <v>250000</v>
      </c>
      <c r="R553" s="368">
        <f t="shared" si="58"/>
        <v>6.7601040496827842E-4</v>
      </c>
    </row>
    <row r="554" spans="2:18" x14ac:dyDescent="0.3">
      <c r="B554" s="54" t="s">
        <v>1557</v>
      </c>
      <c r="C554" s="54" t="s">
        <v>1468</v>
      </c>
      <c r="E554" s="1">
        <v>730000</v>
      </c>
      <c r="F554" s="309">
        <v>49322</v>
      </c>
      <c r="G554" s="309">
        <v>3600500</v>
      </c>
      <c r="H554" s="368">
        <f t="shared" si="56"/>
        <v>5.0787964442111132E-3</v>
      </c>
      <c r="J554" s="1">
        <v>786265</v>
      </c>
      <c r="K554" s="309">
        <v>51255</v>
      </c>
      <c r="L554" s="309">
        <v>4030000</v>
      </c>
      <c r="M554" s="368">
        <f t="shared" si="57"/>
        <v>5.606971913120813E-3</v>
      </c>
      <c r="O554" s="1">
        <v>815693</v>
      </c>
      <c r="P554" s="309">
        <v>51872</v>
      </c>
      <c r="Q554" s="309">
        <v>4231145</v>
      </c>
      <c r="R554" s="368">
        <f t="shared" si="58"/>
        <v>5.9426681920275101E-3</v>
      </c>
    </row>
    <row r="555" spans="2:18" x14ac:dyDescent="0.3">
      <c r="B555" s="54" t="s">
        <v>1557</v>
      </c>
      <c r="C555" s="54" t="s">
        <v>27</v>
      </c>
      <c r="E555" s="1">
        <v>76</v>
      </c>
      <c r="F555" s="309">
        <v>5921</v>
      </c>
      <c r="G555" s="309">
        <v>45</v>
      </c>
      <c r="H555" s="368">
        <f t="shared" si="56"/>
        <v>1.2533331036113013E-7</v>
      </c>
      <c r="J555" s="1">
        <v>75</v>
      </c>
      <c r="K555" s="309">
        <v>6000</v>
      </c>
      <c r="L555" s="309">
        <v>45</v>
      </c>
      <c r="M555" s="368">
        <f t="shared" si="57"/>
        <v>1.3074233139498724E-7</v>
      </c>
      <c r="O555" s="1">
        <v>75</v>
      </c>
      <c r="P555" s="309">
        <v>6000</v>
      </c>
      <c r="Q555" s="309">
        <v>45</v>
      </c>
      <c r="R555" s="368">
        <f t="shared" si="58"/>
        <v>1.3502391192465838E-7</v>
      </c>
    </row>
    <row r="556" spans="2:18" x14ac:dyDescent="0.3">
      <c r="B556" s="54" t="s">
        <v>1557</v>
      </c>
      <c r="C556" s="54" t="s">
        <v>1470</v>
      </c>
      <c r="E556" s="1">
        <v>96844</v>
      </c>
      <c r="F556" s="309">
        <v>318911</v>
      </c>
      <c r="G556" s="309">
        <v>3088464</v>
      </c>
      <c r="H556" s="368">
        <f t="shared" si="56"/>
        <v>1.7069218192126414E-3</v>
      </c>
      <c r="J556" s="1">
        <v>98319</v>
      </c>
      <c r="K556" s="309">
        <v>318485</v>
      </c>
      <c r="L556" s="309">
        <v>3131313</v>
      </c>
      <c r="M556" s="368">
        <f t="shared" si="57"/>
        <v>1.6442959373131184E-3</v>
      </c>
      <c r="O556" s="1">
        <v>99799</v>
      </c>
      <c r="P556" s="309">
        <v>318055</v>
      </c>
      <c r="Q556" s="309">
        <v>3174161</v>
      </c>
      <c r="R556" s="368">
        <f t="shared" si="58"/>
        <v>1.6485002480596969E-3</v>
      </c>
    </row>
    <row r="557" spans="2:18" x14ac:dyDescent="0.3">
      <c r="B557" s="54" t="s">
        <v>1557</v>
      </c>
      <c r="C557" s="54" t="s">
        <v>26</v>
      </c>
      <c r="E557" s="1">
        <v>2088</v>
      </c>
      <c r="F557" s="309">
        <v>23946</v>
      </c>
      <c r="G557" s="309">
        <v>5000</v>
      </c>
      <c r="H557" s="368">
        <f t="shared" si="56"/>
        <v>6.476953939548812E-6</v>
      </c>
      <c r="J557" s="1">
        <v>2085</v>
      </c>
      <c r="K557" s="309">
        <v>23981</v>
      </c>
      <c r="L557" s="309">
        <v>5000</v>
      </c>
      <c r="M557" s="368">
        <f t="shared" si="57"/>
        <v>6.8200309393704376E-6</v>
      </c>
      <c r="O557" s="1">
        <v>2083</v>
      </c>
      <c r="P557" s="309">
        <v>24004</v>
      </c>
      <c r="Q557" s="309">
        <v>5000</v>
      </c>
      <c r="R557" s="368">
        <f t="shared" si="58"/>
        <v>6.5322123713745165E-6</v>
      </c>
    </row>
    <row r="558" spans="2:18" x14ac:dyDescent="0.3">
      <c r="B558" s="54" t="s">
        <v>1558</v>
      </c>
      <c r="C558" s="54" t="s">
        <v>28</v>
      </c>
      <c r="E558" s="1">
        <v>231657</v>
      </c>
      <c r="F558" s="309">
        <v>214134</v>
      </c>
      <c r="G558" s="309">
        <v>4960556</v>
      </c>
      <c r="H558" s="368">
        <f t="shared" si="56"/>
        <v>1.7542589641479631E-2</v>
      </c>
      <c r="J558" s="1">
        <v>238094</v>
      </c>
      <c r="K558" s="309">
        <v>227242</v>
      </c>
      <c r="L558" s="309">
        <v>5410506</v>
      </c>
      <c r="M558" s="368">
        <f t="shared" si="57"/>
        <v>1.8611989503200439E-2</v>
      </c>
      <c r="O558" s="1">
        <v>238444</v>
      </c>
      <c r="P558" s="309">
        <v>237703</v>
      </c>
      <c r="Q558" s="309">
        <v>5667887</v>
      </c>
      <c r="R558" s="368">
        <f t="shared" si="58"/>
        <v>1.8938510792371313E-2</v>
      </c>
    </row>
    <row r="559" spans="2:18" x14ac:dyDescent="0.3">
      <c r="B559" s="54" t="s">
        <v>1558</v>
      </c>
      <c r="C559" s="54" t="s">
        <v>24</v>
      </c>
      <c r="E559" s="1">
        <v>1725367</v>
      </c>
      <c r="F559" s="309">
        <v>20078</v>
      </c>
      <c r="G559" s="309">
        <v>3464139</v>
      </c>
      <c r="H559" s="368">
        <f t="shared" si="56"/>
        <v>3.0562036187713124E-3</v>
      </c>
      <c r="J559" s="1">
        <v>1685347</v>
      </c>
      <c r="K559" s="309">
        <v>16008</v>
      </c>
      <c r="L559" s="309">
        <v>2697959</v>
      </c>
      <c r="M559" s="368">
        <f t="shared" si="57"/>
        <v>2.4073222912796345E-3</v>
      </c>
      <c r="O559" s="1">
        <v>1700000</v>
      </c>
      <c r="P559" s="309">
        <v>17824</v>
      </c>
      <c r="Q559" s="309">
        <v>3030000</v>
      </c>
      <c r="R559" s="368">
        <f t="shared" si="58"/>
        <v>2.6447695921465461E-3</v>
      </c>
    </row>
    <row r="560" spans="2:18" x14ac:dyDescent="0.3">
      <c r="B560" s="54" t="s">
        <v>1558</v>
      </c>
      <c r="C560" s="54" t="s">
        <v>25</v>
      </c>
      <c r="E560" s="1">
        <v>66604</v>
      </c>
      <c r="F560" s="309">
        <v>184164</v>
      </c>
      <c r="G560" s="309">
        <v>1226603</v>
      </c>
      <c r="H560" s="368">
        <f t="shared" si="56"/>
        <v>3.3195085135699679E-3</v>
      </c>
      <c r="J560" s="1">
        <v>68133</v>
      </c>
      <c r="K560" s="309">
        <v>165247</v>
      </c>
      <c r="L560" s="309">
        <v>1125874</v>
      </c>
      <c r="M560" s="368">
        <f t="shared" si="57"/>
        <v>3.0872752589123568E-3</v>
      </c>
      <c r="O560" s="1">
        <v>66502</v>
      </c>
      <c r="P560" s="309">
        <v>183358</v>
      </c>
      <c r="Q560" s="309">
        <v>1219366</v>
      </c>
      <c r="R560" s="368">
        <f t="shared" si="58"/>
        <v>3.2972164138581994E-3</v>
      </c>
    </row>
    <row r="561" spans="2:18" x14ac:dyDescent="0.3">
      <c r="B561" s="54" t="s">
        <v>1558</v>
      </c>
      <c r="C561" s="54" t="s">
        <v>1468</v>
      </c>
      <c r="E561" s="1">
        <v>64881</v>
      </c>
      <c r="F561" s="309">
        <v>18662</v>
      </c>
      <c r="G561" s="309">
        <v>121079</v>
      </c>
      <c r="H561" s="368">
        <f t="shared" si="56"/>
        <v>1.7079172189102553E-4</v>
      </c>
      <c r="J561" s="1">
        <v>63971</v>
      </c>
      <c r="K561" s="309">
        <v>17557</v>
      </c>
      <c r="L561" s="309">
        <v>112313</v>
      </c>
      <c r="M561" s="368">
        <f t="shared" si="57"/>
        <v>1.5626199416335929E-4</v>
      </c>
      <c r="O561" s="1">
        <v>74862</v>
      </c>
      <c r="P561" s="309">
        <v>17766</v>
      </c>
      <c r="Q561" s="309">
        <v>133000</v>
      </c>
      <c r="R561" s="368">
        <f t="shared" si="58"/>
        <v>1.8679928708178491E-4</v>
      </c>
    </row>
    <row r="562" spans="2:18" x14ac:dyDescent="0.3">
      <c r="B562" s="54" t="s">
        <v>1558</v>
      </c>
      <c r="C562" s="54" t="s">
        <v>27</v>
      </c>
      <c r="E562" s="1">
        <v>188714</v>
      </c>
      <c r="F562" s="309">
        <v>11051</v>
      </c>
      <c r="G562" s="309">
        <v>208556</v>
      </c>
      <c r="H562" s="368">
        <f t="shared" si="56"/>
        <v>5.80866975015019E-4</v>
      </c>
      <c r="J562" s="1">
        <v>178823</v>
      </c>
      <c r="K562" s="309">
        <v>9813</v>
      </c>
      <c r="L562" s="309">
        <v>175475</v>
      </c>
      <c r="M562" s="368">
        <f t="shared" si="57"/>
        <v>5.0982245781189749E-4</v>
      </c>
      <c r="O562" s="1">
        <v>180000</v>
      </c>
      <c r="P562" s="309">
        <v>9444</v>
      </c>
      <c r="Q562" s="309">
        <v>170000</v>
      </c>
      <c r="R562" s="368">
        <f t="shared" si="58"/>
        <v>5.1009033393759832E-4</v>
      </c>
    </row>
    <row r="563" spans="2:18" x14ac:dyDescent="0.3">
      <c r="B563" s="54" t="s">
        <v>1558</v>
      </c>
      <c r="C563" s="54" t="s">
        <v>1470</v>
      </c>
      <c r="E563" s="1">
        <v>28461</v>
      </c>
      <c r="F563" s="309">
        <v>1074559</v>
      </c>
      <c r="G563" s="309">
        <v>3058302</v>
      </c>
      <c r="H563" s="368">
        <f t="shared" si="56"/>
        <v>1.6902519872472725E-3</v>
      </c>
      <c r="J563" s="1">
        <v>29083</v>
      </c>
      <c r="K563" s="309">
        <v>1075056</v>
      </c>
      <c r="L563" s="309">
        <v>3126584</v>
      </c>
      <c r="M563" s="368">
        <f t="shared" si="57"/>
        <v>1.6418126737468273E-3</v>
      </c>
      <c r="O563" s="1">
        <v>29164</v>
      </c>
      <c r="P563" s="309">
        <v>1075613</v>
      </c>
      <c r="Q563" s="309">
        <v>3136918</v>
      </c>
      <c r="R563" s="368">
        <f t="shared" si="58"/>
        <v>1.629158099145862E-3</v>
      </c>
    </row>
    <row r="564" spans="2:18" x14ac:dyDescent="0.3">
      <c r="B564" s="54" t="s">
        <v>1558</v>
      </c>
      <c r="C564" s="54" t="s">
        <v>26</v>
      </c>
      <c r="E564" s="1">
        <v>607</v>
      </c>
      <c r="F564" s="309">
        <v>12273</v>
      </c>
      <c r="G564" s="309">
        <v>745</v>
      </c>
      <c r="H564" s="368">
        <f t="shared" si="56"/>
        <v>9.6506613699277286E-7</v>
      </c>
      <c r="J564" s="1">
        <v>592</v>
      </c>
      <c r="K564" s="309">
        <v>12314</v>
      </c>
      <c r="L564" s="309">
        <v>729</v>
      </c>
      <c r="M564" s="368">
        <f t="shared" si="57"/>
        <v>9.9436051096020975E-7</v>
      </c>
      <c r="O564" s="1">
        <v>1000</v>
      </c>
      <c r="P564" s="309">
        <v>10000</v>
      </c>
      <c r="Q564" s="309">
        <v>1000</v>
      </c>
      <c r="R564" s="368">
        <f t="shared" si="58"/>
        <v>1.3064424742749033E-6</v>
      </c>
    </row>
    <row r="565" spans="2:18" x14ac:dyDescent="0.3">
      <c r="B565" s="54" t="s">
        <v>14</v>
      </c>
      <c r="C565" s="54" t="s">
        <v>28</v>
      </c>
      <c r="E565" s="1">
        <v>2566</v>
      </c>
      <c r="F565" s="309">
        <v>172366</v>
      </c>
      <c r="G565" s="309">
        <v>44229</v>
      </c>
      <c r="H565" s="368">
        <f t="shared" si="56"/>
        <v>1.5641214356878596E-4</v>
      </c>
      <c r="J565" s="1">
        <v>1971</v>
      </c>
      <c r="K565" s="309">
        <v>177560</v>
      </c>
      <c r="L565" s="309">
        <v>34997</v>
      </c>
      <c r="M565" s="368">
        <f t="shared" si="57"/>
        <v>1.2038870239558107E-4</v>
      </c>
      <c r="O565" s="1">
        <v>2446</v>
      </c>
      <c r="P565" s="309">
        <v>172800</v>
      </c>
      <c r="Q565" s="309">
        <v>42267</v>
      </c>
      <c r="R565" s="368">
        <f t="shared" si="58"/>
        <v>1.4122970970683753E-4</v>
      </c>
    </row>
    <row r="566" spans="2:18" x14ac:dyDescent="0.3">
      <c r="B566" s="54" t="s">
        <v>14</v>
      </c>
      <c r="C566" s="54" t="s">
        <v>24</v>
      </c>
      <c r="E566" s="1">
        <v>10477</v>
      </c>
      <c r="F566" s="309">
        <v>69257</v>
      </c>
      <c r="G566" s="309">
        <v>72561</v>
      </c>
      <c r="H566" s="368">
        <f t="shared" si="56"/>
        <v>6.4016250728295024E-5</v>
      </c>
      <c r="J566" s="1">
        <v>9548</v>
      </c>
      <c r="K566" s="309">
        <v>72169</v>
      </c>
      <c r="L566" s="309">
        <v>68907</v>
      </c>
      <c r="M566" s="368">
        <f t="shared" si="57"/>
        <v>6.1484017038511616E-5</v>
      </c>
      <c r="O566" s="1">
        <v>6533</v>
      </c>
      <c r="P566" s="309">
        <v>82310</v>
      </c>
      <c r="Q566" s="309">
        <v>53773</v>
      </c>
      <c r="R566" s="368">
        <f t="shared" si="58"/>
        <v>4.6936368078711627E-5</v>
      </c>
    </row>
    <row r="567" spans="2:18" x14ac:dyDescent="0.3">
      <c r="B567" s="54" t="s">
        <v>14</v>
      </c>
      <c r="C567" s="54" t="s">
        <v>1472</v>
      </c>
      <c r="E567" s="1">
        <v>5110713</v>
      </c>
      <c r="F567" s="309">
        <v>199074</v>
      </c>
      <c r="G567" s="309">
        <v>101740900</v>
      </c>
      <c r="H567" s="368">
        <f t="shared" si="56"/>
        <v>0.25416468853268559</v>
      </c>
      <c r="J567" s="1">
        <v>5189344</v>
      </c>
      <c r="K567" s="309">
        <v>189657</v>
      </c>
      <c r="L567" s="309">
        <v>98419438</v>
      </c>
      <c r="M567" s="368">
        <f t="shared" si="57"/>
        <v>0.2438639858172138</v>
      </c>
      <c r="O567" s="1">
        <v>5216822</v>
      </c>
      <c r="P567" s="309">
        <v>189896</v>
      </c>
      <c r="Q567" s="309">
        <v>99065364</v>
      </c>
      <c r="R567" s="368">
        <f t="shared" si="58"/>
        <v>0.24121295819933217</v>
      </c>
    </row>
    <row r="568" spans="2:18" x14ac:dyDescent="0.3">
      <c r="B568" s="54" t="s">
        <v>14</v>
      </c>
      <c r="C568" s="54" t="s">
        <v>1468</v>
      </c>
      <c r="E568" s="1">
        <v>685548</v>
      </c>
      <c r="F568" s="309">
        <v>37496</v>
      </c>
      <c r="G568" s="309">
        <v>2570513</v>
      </c>
      <c r="H568" s="368">
        <f t="shared" si="56"/>
        <v>3.6259164794329789E-3</v>
      </c>
      <c r="J568" s="1">
        <v>699980</v>
      </c>
      <c r="K568" s="309">
        <v>37704</v>
      </c>
      <c r="L568" s="309">
        <v>2639202</v>
      </c>
      <c r="M568" s="368">
        <f t="shared" si="57"/>
        <v>3.6719432970353043E-3</v>
      </c>
      <c r="O568" s="1">
        <v>684416</v>
      </c>
      <c r="P568" s="309">
        <v>42550</v>
      </c>
      <c r="Q568" s="309">
        <v>2912203</v>
      </c>
      <c r="R568" s="368">
        <f t="shared" si="58"/>
        <v>4.0902063476498888E-3</v>
      </c>
    </row>
    <row r="569" spans="2:18" x14ac:dyDescent="0.3">
      <c r="B569" s="54" t="s">
        <v>14</v>
      </c>
      <c r="C569" s="54" t="s">
        <v>27</v>
      </c>
      <c r="E569" s="1">
        <v>0</v>
      </c>
      <c r="F569" s="309"/>
      <c r="G569" s="309">
        <v>0</v>
      </c>
      <c r="H569" s="368">
        <f t="shared" si="56"/>
        <v>0</v>
      </c>
      <c r="J569" s="1">
        <v>0</v>
      </c>
      <c r="K569" s="309"/>
      <c r="L569" s="309">
        <v>0</v>
      </c>
      <c r="M569" s="368">
        <f t="shared" si="57"/>
        <v>0</v>
      </c>
      <c r="O569" s="1">
        <v>0</v>
      </c>
      <c r="P569" s="309"/>
      <c r="Q569" s="309">
        <v>0</v>
      </c>
      <c r="R569" s="368">
        <f t="shared" si="58"/>
        <v>0</v>
      </c>
    </row>
    <row r="570" spans="2:18" x14ac:dyDescent="0.3">
      <c r="B570" s="54" t="s">
        <v>14</v>
      </c>
      <c r="C570" s="54" t="s">
        <v>1470</v>
      </c>
      <c r="E570" s="1">
        <v>1668</v>
      </c>
      <c r="F570" s="309">
        <v>179796</v>
      </c>
      <c r="G570" s="309">
        <v>29990</v>
      </c>
      <c r="H570" s="368">
        <f t="shared" si="56"/>
        <v>1.6574771588138025E-5</v>
      </c>
      <c r="J570" s="1">
        <v>1400</v>
      </c>
      <c r="K570" s="309">
        <v>167679</v>
      </c>
      <c r="L570" s="309">
        <v>23475</v>
      </c>
      <c r="M570" s="368">
        <f t="shared" si="57"/>
        <v>1.2327048470857259E-5</v>
      </c>
      <c r="O570" s="1">
        <v>1158</v>
      </c>
      <c r="P570" s="309">
        <v>178048</v>
      </c>
      <c r="Q570" s="309">
        <v>20618</v>
      </c>
      <c r="R570" s="368">
        <f t="shared" si="58"/>
        <v>1.0707956563795861E-5</v>
      </c>
    </row>
    <row r="571" spans="2:18" x14ac:dyDescent="0.3">
      <c r="B571" s="54" t="s">
        <v>1559</v>
      </c>
      <c r="C571" s="54" t="s">
        <v>28</v>
      </c>
      <c r="E571" s="1">
        <v>4</v>
      </c>
      <c r="F571" s="309">
        <v>15000</v>
      </c>
      <c r="G571" s="309">
        <v>6</v>
      </c>
      <c r="H571" s="368">
        <f t="shared" si="56"/>
        <v>2.1218496041346531E-8</v>
      </c>
      <c r="J571" s="1">
        <v>4</v>
      </c>
      <c r="K571" s="309">
        <v>15000</v>
      </c>
      <c r="L571" s="309">
        <v>6</v>
      </c>
      <c r="M571" s="368">
        <f t="shared" si="57"/>
        <v>2.0639832396305008E-8</v>
      </c>
      <c r="O571" s="1">
        <v>5</v>
      </c>
      <c r="P571" s="309">
        <v>10000</v>
      </c>
      <c r="Q571" s="309">
        <v>5</v>
      </c>
      <c r="R571" s="368">
        <f t="shared" si="58"/>
        <v>1.6706852829256576E-8</v>
      </c>
    </row>
    <row r="572" spans="2:18" x14ac:dyDescent="0.3">
      <c r="B572" s="54" t="s">
        <v>1559</v>
      </c>
      <c r="C572" s="54" t="s">
        <v>24</v>
      </c>
      <c r="E572" s="1">
        <v>33</v>
      </c>
      <c r="F572" s="309">
        <v>46667</v>
      </c>
      <c r="G572" s="309">
        <v>154</v>
      </c>
      <c r="H572" s="368">
        <f t="shared" si="56"/>
        <v>1.3586503234736889E-7</v>
      </c>
      <c r="J572" s="1">
        <v>34</v>
      </c>
      <c r="K572" s="309">
        <v>46765</v>
      </c>
      <c r="L572" s="309">
        <v>159</v>
      </c>
      <c r="M572" s="368">
        <f t="shared" si="57"/>
        <v>1.4187177948718342E-7</v>
      </c>
      <c r="O572" s="1">
        <v>34</v>
      </c>
      <c r="P572" s="309">
        <v>48529</v>
      </c>
      <c r="Q572" s="309">
        <v>165</v>
      </c>
      <c r="R572" s="368">
        <f t="shared" si="58"/>
        <v>1.4402210650302974E-7</v>
      </c>
    </row>
    <row r="573" spans="2:18" x14ac:dyDescent="0.3">
      <c r="B573" s="54" t="s">
        <v>1560</v>
      </c>
      <c r="C573" s="54" t="s">
        <v>28</v>
      </c>
      <c r="E573" s="1">
        <v>6897</v>
      </c>
      <c r="F573" s="309">
        <v>147089</v>
      </c>
      <c r="G573" s="309">
        <v>101447</v>
      </c>
      <c r="H573" s="368">
        <f t="shared" si="56"/>
        <v>3.5875879465108027E-4</v>
      </c>
      <c r="J573" s="1">
        <v>8228</v>
      </c>
      <c r="K573" s="309">
        <v>167748</v>
      </c>
      <c r="L573" s="309">
        <v>138023</v>
      </c>
      <c r="M573" s="368">
        <f t="shared" si="57"/>
        <v>4.7479526447253439E-4</v>
      </c>
      <c r="O573" s="1">
        <v>5905</v>
      </c>
      <c r="P573" s="309">
        <v>119072</v>
      </c>
      <c r="Q573" s="309">
        <v>70312</v>
      </c>
      <c r="R573" s="368">
        <f t="shared" si="58"/>
        <v>2.3493844722613768E-4</v>
      </c>
    </row>
    <row r="574" spans="2:18" x14ac:dyDescent="0.3">
      <c r="B574" s="54" t="s">
        <v>1560</v>
      </c>
      <c r="C574" s="54" t="s">
        <v>24</v>
      </c>
      <c r="E574" s="1">
        <v>1233008</v>
      </c>
      <c r="F574" s="309">
        <v>29182</v>
      </c>
      <c r="G574" s="309">
        <v>3598205</v>
      </c>
      <c r="H574" s="368">
        <f t="shared" si="56"/>
        <v>3.174482069593925E-3</v>
      </c>
      <c r="J574" s="1">
        <v>1258559</v>
      </c>
      <c r="K574" s="309">
        <v>28802</v>
      </c>
      <c r="L574" s="309">
        <v>3624950</v>
      </c>
      <c r="M574" s="368">
        <f t="shared" si="57"/>
        <v>3.2344535034721103E-3</v>
      </c>
      <c r="O574" s="1">
        <v>1432151</v>
      </c>
      <c r="P574" s="309">
        <v>26649</v>
      </c>
      <c r="Q574" s="309">
        <v>3816536</v>
      </c>
      <c r="R574" s="368">
        <f t="shared" si="58"/>
        <v>3.3313063894827096E-3</v>
      </c>
    </row>
    <row r="575" spans="2:18" x14ac:dyDescent="0.3">
      <c r="B575" s="54" t="s">
        <v>1560</v>
      </c>
      <c r="C575" s="54" t="s">
        <v>25</v>
      </c>
      <c r="E575" s="1">
        <v>11750</v>
      </c>
      <c r="F575" s="309">
        <v>214092</v>
      </c>
      <c r="G575" s="309">
        <v>251558</v>
      </c>
      <c r="H575" s="368">
        <f t="shared" si="56"/>
        <v>6.8078173839183009E-4</v>
      </c>
      <c r="J575" s="1">
        <v>13689</v>
      </c>
      <c r="K575" s="309">
        <v>227118</v>
      </c>
      <c r="L575" s="309">
        <v>310902</v>
      </c>
      <c r="M575" s="368">
        <f t="shared" si="57"/>
        <v>8.5252883763757721E-4</v>
      </c>
      <c r="O575" s="1">
        <v>13459</v>
      </c>
      <c r="P575" s="309">
        <v>225319</v>
      </c>
      <c r="Q575" s="309">
        <v>303257</v>
      </c>
      <c r="R575" s="368">
        <f t="shared" si="58"/>
        <v>8.2001954951786086E-4</v>
      </c>
    </row>
    <row r="576" spans="2:18" x14ac:dyDescent="0.3">
      <c r="B576" s="54" t="s">
        <v>1560</v>
      </c>
      <c r="C576" s="54" t="s">
        <v>1468</v>
      </c>
      <c r="E576" s="1">
        <v>767874</v>
      </c>
      <c r="F576" s="309">
        <v>35260</v>
      </c>
      <c r="G576" s="309">
        <v>2707557</v>
      </c>
      <c r="H576" s="368">
        <f t="shared" si="56"/>
        <v>3.8192281250101121E-3</v>
      </c>
      <c r="J576" s="1">
        <v>969519</v>
      </c>
      <c r="K576" s="309">
        <v>32671</v>
      </c>
      <c r="L576" s="309">
        <v>3167528</v>
      </c>
      <c r="M576" s="368">
        <f t="shared" si="57"/>
        <v>4.4070075756882741E-3</v>
      </c>
      <c r="O576" s="1">
        <v>924644</v>
      </c>
      <c r="P576" s="309">
        <v>34568</v>
      </c>
      <c r="Q576" s="309">
        <v>3196336</v>
      </c>
      <c r="R576" s="368">
        <f t="shared" si="58"/>
        <v>4.4892728276228876E-3</v>
      </c>
    </row>
    <row r="577" spans="2:18" x14ac:dyDescent="0.3">
      <c r="B577" s="54" t="s">
        <v>1560</v>
      </c>
      <c r="C577" s="54" t="s">
        <v>27</v>
      </c>
      <c r="E577" s="1">
        <v>13874</v>
      </c>
      <c r="F577" s="309">
        <v>4181</v>
      </c>
      <c r="G577" s="309">
        <v>5801</v>
      </c>
      <c r="H577" s="368">
        <f t="shared" si="56"/>
        <v>1.6156856297887021E-5</v>
      </c>
      <c r="J577" s="1">
        <v>13906</v>
      </c>
      <c r="K577" s="309">
        <v>4813</v>
      </c>
      <c r="L577" s="309">
        <v>6693</v>
      </c>
      <c r="M577" s="368">
        <f t="shared" si="57"/>
        <v>1.944574275614777E-5</v>
      </c>
      <c r="O577" s="1">
        <v>16964</v>
      </c>
      <c r="P577" s="309">
        <v>6154</v>
      </c>
      <c r="Q577" s="309">
        <v>10440</v>
      </c>
      <c r="R577" s="368">
        <f t="shared" si="58"/>
        <v>3.1325547566520747E-5</v>
      </c>
    </row>
    <row r="578" spans="2:18" x14ac:dyDescent="0.3">
      <c r="B578" s="54" t="s">
        <v>1560</v>
      </c>
      <c r="C578" s="54" t="s">
        <v>1469</v>
      </c>
      <c r="E578" s="1">
        <v>470</v>
      </c>
      <c r="F578" s="309">
        <v>141468</v>
      </c>
      <c r="G578" s="309">
        <v>6649</v>
      </c>
      <c r="H578" s="368">
        <f t="shared" si="56"/>
        <v>2.1175873955134319E-5</v>
      </c>
      <c r="J578" s="1">
        <v>840</v>
      </c>
      <c r="K578" s="309">
        <v>142321</v>
      </c>
      <c r="L578" s="309">
        <v>11955</v>
      </c>
      <c r="M578" s="368">
        <f t="shared" si="57"/>
        <v>4.3677335258599584E-5</v>
      </c>
      <c r="O578" s="1">
        <v>819</v>
      </c>
      <c r="P578" s="309">
        <v>142027</v>
      </c>
      <c r="Q578" s="309">
        <v>11632</v>
      </c>
      <c r="R578" s="368">
        <f t="shared" si="58"/>
        <v>4.1766909763582488E-5</v>
      </c>
    </row>
    <row r="579" spans="2:18" x14ac:dyDescent="0.3">
      <c r="B579" s="54" t="s">
        <v>1560</v>
      </c>
      <c r="C579" s="54" t="s">
        <v>1470</v>
      </c>
      <c r="E579" s="1">
        <v>5053</v>
      </c>
      <c r="F579" s="309">
        <v>723537</v>
      </c>
      <c r="G579" s="309">
        <v>365603</v>
      </c>
      <c r="H579" s="368">
        <f t="shared" ref="H579:H642" si="59">G579/(VLOOKUP($C579,$W$5:$Z$13,2,FALSE)*10^6)</f>
        <v>2.0206022730703656E-4</v>
      </c>
      <c r="J579" s="1">
        <v>5079</v>
      </c>
      <c r="K579" s="309">
        <v>723963</v>
      </c>
      <c r="L579" s="309">
        <v>367701</v>
      </c>
      <c r="M579" s="368">
        <f t="shared" ref="M579:M642" si="60">L579/(VLOOKUP($C579,$W$5:$Z$13,3,FALSE)*10^6)</f>
        <v>1.9308490094920914E-4</v>
      </c>
      <c r="O579" s="1">
        <v>5108</v>
      </c>
      <c r="P579" s="309">
        <v>724409</v>
      </c>
      <c r="Q579" s="309">
        <v>370028</v>
      </c>
      <c r="R579" s="368">
        <f t="shared" ref="R579:R642" si="61">Q579/(VLOOKUP($C579,$W$5:$Z$13,4,FALSE)*10^6)</f>
        <v>1.9217401064061765E-4</v>
      </c>
    </row>
    <row r="580" spans="2:18" x14ac:dyDescent="0.3">
      <c r="B580" s="54" t="s">
        <v>1560</v>
      </c>
      <c r="C580" s="54" t="s">
        <v>26</v>
      </c>
      <c r="E580" s="1">
        <v>4496</v>
      </c>
      <c r="F580" s="309">
        <v>62311</v>
      </c>
      <c r="G580" s="309">
        <v>28015</v>
      </c>
      <c r="H580" s="368">
        <f t="shared" si="59"/>
        <v>3.6290372923291992E-5</v>
      </c>
      <c r="J580" s="1">
        <v>8240</v>
      </c>
      <c r="K580" s="309">
        <v>35419</v>
      </c>
      <c r="L580" s="309">
        <v>29185</v>
      </c>
      <c r="M580" s="368">
        <f t="shared" si="60"/>
        <v>3.9808520593105248E-5</v>
      </c>
      <c r="O580" s="1">
        <v>4262</v>
      </c>
      <c r="P580" s="309">
        <v>19301</v>
      </c>
      <c r="Q580" s="309">
        <v>8226</v>
      </c>
      <c r="R580" s="368">
        <f t="shared" si="61"/>
        <v>1.0746795793385355E-5</v>
      </c>
    </row>
    <row r="581" spans="2:18" x14ac:dyDescent="0.3">
      <c r="B581" s="54" t="s">
        <v>1561</v>
      </c>
      <c r="C581" s="54" t="s">
        <v>24</v>
      </c>
      <c r="E581" s="1"/>
      <c r="F581" s="309"/>
      <c r="G581" s="309"/>
      <c r="H581" s="368">
        <f t="shared" si="59"/>
        <v>0</v>
      </c>
      <c r="J581" s="1">
        <v>0</v>
      </c>
      <c r="K581" s="309"/>
      <c r="L581" s="309">
        <v>0</v>
      </c>
      <c r="M581" s="368">
        <f t="shared" si="60"/>
        <v>0</v>
      </c>
      <c r="O581" s="1">
        <v>0</v>
      </c>
      <c r="P581" s="309"/>
      <c r="Q581" s="309">
        <v>0</v>
      </c>
      <c r="R581" s="368">
        <f t="shared" si="61"/>
        <v>0</v>
      </c>
    </row>
    <row r="582" spans="2:18" x14ac:dyDescent="0.3">
      <c r="B582" s="54" t="s">
        <v>1561</v>
      </c>
      <c r="C582" s="54" t="s">
        <v>25</v>
      </c>
      <c r="E582" s="1">
        <v>700</v>
      </c>
      <c r="F582" s="309">
        <v>124857</v>
      </c>
      <c r="G582" s="309">
        <v>8740</v>
      </c>
      <c r="H582" s="368">
        <f t="shared" si="59"/>
        <v>2.3652725787073341E-5</v>
      </c>
      <c r="J582" s="1">
        <v>690</v>
      </c>
      <c r="K582" s="309">
        <v>135652</v>
      </c>
      <c r="L582" s="309">
        <v>9360</v>
      </c>
      <c r="M582" s="368">
        <f t="shared" si="60"/>
        <v>2.5666190376027569E-5</v>
      </c>
      <c r="O582" s="1">
        <v>690</v>
      </c>
      <c r="P582" s="309">
        <v>130290</v>
      </c>
      <c r="Q582" s="309">
        <v>8990</v>
      </c>
      <c r="R582" s="368">
        <f t="shared" si="61"/>
        <v>2.4309334162659292E-5</v>
      </c>
    </row>
    <row r="583" spans="2:18" x14ac:dyDescent="0.3">
      <c r="B583" s="54" t="s">
        <v>1561</v>
      </c>
      <c r="C583" s="54" t="s">
        <v>1468</v>
      </c>
      <c r="E583" s="1"/>
      <c r="F583" s="309"/>
      <c r="G583" s="309"/>
      <c r="H583" s="368">
        <f t="shared" si="59"/>
        <v>0</v>
      </c>
      <c r="J583" s="1">
        <v>0</v>
      </c>
      <c r="K583" s="309"/>
      <c r="L583" s="309">
        <v>0</v>
      </c>
      <c r="M583" s="368">
        <f t="shared" si="60"/>
        <v>0</v>
      </c>
      <c r="O583" s="1">
        <v>0</v>
      </c>
      <c r="P583" s="309"/>
      <c r="Q583" s="309">
        <v>0</v>
      </c>
      <c r="R583" s="368">
        <f t="shared" si="61"/>
        <v>0</v>
      </c>
    </row>
    <row r="584" spans="2:18" x14ac:dyDescent="0.3">
      <c r="B584" s="54" t="s">
        <v>1561</v>
      </c>
      <c r="C584" s="54" t="s">
        <v>27</v>
      </c>
      <c r="E584" s="1"/>
      <c r="F584" s="309"/>
      <c r="G584" s="309"/>
      <c r="H584" s="368">
        <f t="shared" si="59"/>
        <v>0</v>
      </c>
      <c r="J584" s="1">
        <v>0</v>
      </c>
      <c r="K584" s="309"/>
      <c r="L584" s="309">
        <v>0</v>
      </c>
      <c r="M584" s="368">
        <f t="shared" si="60"/>
        <v>0</v>
      </c>
      <c r="O584" s="1">
        <v>0</v>
      </c>
      <c r="P584" s="309"/>
      <c r="Q584" s="309">
        <v>0</v>
      </c>
      <c r="R584" s="368">
        <f t="shared" si="61"/>
        <v>0</v>
      </c>
    </row>
    <row r="585" spans="2:18" x14ac:dyDescent="0.3">
      <c r="B585" s="54" t="s">
        <v>1561</v>
      </c>
      <c r="C585" s="54" t="s">
        <v>1469</v>
      </c>
      <c r="E585" s="1"/>
      <c r="F585" s="309"/>
      <c r="G585" s="309"/>
      <c r="H585" s="368">
        <f t="shared" si="59"/>
        <v>0</v>
      </c>
      <c r="J585" s="1">
        <v>0</v>
      </c>
      <c r="K585" s="309"/>
      <c r="L585" s="309">
        <v>0</v>
      </c>
      <c r="M585" s="368">
        <f t="shared" si="60"/>
        <v>0</v>
      </c>
      <c r="O585" s="1">
        <v>0</v>
      </c>
      <c r="P585" s="309"/>
      <c r="Q585" s="309">
        <v>0</v>
      </c>
      <c r="R585" s="368">
        <f t="shared" si="61"/>
        <v>0</v>
      </c>
    </row>
    <row r="586" spans="2:18" x14ac:dyDescent="0.3">
      <c r="B586" s="54" t="s">
        <v>1561</v>
      </c>
      <c r="C586" s="54" t="s">
        <v>26</v>
      </c>
      <c r="E586" s="1">
        <v>2467</v>
      </c>
      <c r="F586" s="309">
        <v>50316</v>
      </c>
      <c r="G586" s="309">
        <v>12413</v>
      </c>
      <c r="H586" s="368">
        <f t="shared" si="59"/>
        <v>1.6079685850323881E-5</v>
      </c>
      <c r="J586" s="1">
        <v>0</v>
      </c>
      <c r="K586" s="309"/>
      <c r="L586" s="309">
        <v>0</v>
      </c>
      <c r="M586" s="368">
        <f t="shared" si="60"/>
        <v>0</v>
      </c>
      <c r="O586" s="1">
        <v>0</v>
      </c>
      <c r="P586" s="309"/>
      <c r="Q586" s="309">
        <v>0</v>
      </c>
      <c r="R586" s="368">
        <f t="shared" si="61"/>
        <v>0</v>
      </c>
    </row>
    <row r="587" spans="2:18" x14ac:dyDescent="0.3">
      <c r="B587" s="54" t="s">
        <v>1562</v>
      </c>
      <c r="C587" s="54" t="s">
        <v>24</v>
      </c>
      <c r="E587" s="1">
        <v>14286</v>
      </c>
      <c r="F587" s="309">
        <v>7000</v>
      </c>
      <c r="G587" s="309">
        <v>10000</v>
      </c>
      <c r="H587" s="368">
        <f t="shared" si="59"/>
        <v>8.8224046978810955E-6</v>
      </c>
      <c r="J587" s="1">
        <v>17500</v>
      </c>
      <c r="K587" s="309">
        <v>6857</v>
      </c>
      <c r="L587" s="309">
        <v>12000</v>
      </c>
      <c r="M587" s="368">
        <f t="shared" si="60"/>
        <v>1.0707304112240257E-5</v>
      </c>
      <c r="O587" s="1">
        <v>23372</v>
      </c>
      <c r="P587" s="309">
        <v>6846</v>
      </c>
      <c r="Q587" s="309">
        <v>16000</v>
      </c>
      <c r="R587" s="368">
        <f t="shared" si="61"/>
        <v>1.3965780024536216E-5</v>
      </c>
    </row>
    <row r="588" spans="2:18" x14ac:dyDescent="0.3">
      <c r="B588" s="54" t="s">
        <v>1562</v>
      </c>
      <c r="C588" s="54" t="s">
        <v>25</v>
      </c>
      <c r="E588" s="1">
        <v>391</v>
      </c>
      <c r="F588" s="309">
        <v>60307</v>
      </c>
      <c r="G588" s="309">
        <v>2358</v>
      </c>
      <c r="H588" s="368">
        <f t="shared" si="59"/>
        <v>6.3813646917527382E-6</v>
      </c>
      <c r="J588" s="1">
        <v>373</v>
      </c>
      <c r="K588" s="309">
        <v>60751</v>
      </c>
      <c r="L588" s="309">
        <v>2266</v>
      </c>
      <c r="M588" s="368">
        <f t="shared" si="60"/>
        <v>6.2136311316323148E-6</v>
      </c>
      <c r="O588" s="1">
        <v>369</v>
      </c>
      <c r="P588" s="309">
        <v>61382</v>
      </c>
      <c r="Q588" s="309">
        <v>2265</v>
      </c>
      <c r="R588" s="368">
        <f t="shared" si="61"/>
        <v>6.124654269012603E-6</v>
      </c>
    </row>
    <row r="589" spans="2:18" x14ac:dyDescent="0.3">
      <c r="B589" s="54" t="s">
        <v>1562</v>
      </c>
      <c r="C589" s="54" t="s">
        <v>1468</v>
      </c>
      <c r="E589" s="1">
        <v>58810</v>
      </c>
      <c r="F589" s="309">
        <v>51182</v>
      </c>
      <c r="G589" s="309">
        <v>301000</v>
      </c>
      <c r="H589" s="368">
        <f t="shared" si="59"/>
        <v>4.2458484369047218E-4</v>
      </c>
      <c r="J589" s="1">
        <v>61336</v>
      </c>
      <c r="K589" s="309">
        <v>52661</v>
      </c>
      <c r="L589" s="309">
        <v>323000</v>
      </c>
      <c r="M589" s="368">
        <f t="shared" si="60"/>
        <v>4.4939253794988159E-4</v>
      </c>
      <c r="O589" s="1">
        <v>72964</v>
      </c>
      <c r="P589" s="309">
        <v>52492</v>
      </c>
      <c r="Q589" s="309">
        <v>383000</v>
      </c>
      <c r="R589" s="368">
        <f t="shared" si="61"/>
        <v>5.379257665588242E-4</v>
      </c>
    </row>
    <row r="590" spans="2:18" x14ac:dyDescent="0.3">
      <c r="B590" s="54" t="s">
        <v>1562</v>
      </c>
      <c r="C590" s="54" t="s">
        <v>26</v>
      </c>
      <c r="E590" s="1">
        <v>3929</v>
      </c>
      <c r="F590" s="309">
        <v>21311</v>
      </c>
      <c r="G590" s="309">
        <v>8373</v>
      </c>
      <c r="H590" s="368">
        <f t="shared" si="59"/>
        <v>1.0846307067168439E-5</v>
      </c>
      <c r="J590" s="1">
        <v>3842</v>
      </c>
      <c r="K590" s="309">
        <v>21567</v>
      </c>
      <c r="L590" s="309">
        <v>8286</v>
      </c>
      <c r="M590" s="368">
        <f t="shared" si="60"/>
        <v>1.1302155272724689E-5</v>
      </c>
      <c r="O590" s="1">
        <v>4074</v>
      </c>
      <c r="P590" s="309">
        <v>21210</v>
      </c>
      <c r="Q590" s="309">
        <v>8641</v>
      </c>
      <c r="R590" s="368">
        <f t="shared" si="61"/>
        <v>1.128896942020944E-5</v>
      </c>
    </row>
    <row r="591" spans="2:18" x14ac:dyDescent="0.3">
      <c r="B591" s="54" t="s">
        <v>1563</v>
      </c>
      <c r="C591" s="54" t="s">
        <v>28</v>
      </c>
      <c r="E591" s="1">
        <v>35</v>
      </c>
      <c r="F591" s="309">
        <v>132857</v>
      </c>
      <c r="G591" s="309">
        <v>465</v>
      </c>
      <c r="H591" s="368">
        <f t="shared" si="59"/>
        <v>1.6444334432043562E-6</v>
      </c>
      <c r="J591" s="1">
        <v>56</v>
      </c>
      <c r="K591" s="309">
        <v>121607</v>
      </c>
      <c r="L591" s="309">
        <v>681</v>
      </c>
      <c r="M591" s="368">
        <f t="shared" si="60"/>
        <v>2.3426209769806186E-6</v>
      </c>
      <c r="O591" s="1">
        <v>56</v>
      </c>
      <c r="P591" s="309">
        <v>127679</v>
      </c>
      <c r="Q591" s="309">
        <v>715</v>
      </c>
      <c r="R591" s="368">
        <f t="shared" si="61"/>
        <v>2.3890799545836905E-6</v>
      </c>
    </row>
    <row r="592" spans="2:18" x14ac:dyDescent="0.3">
      <c r="B592" s="54" t="s">
        <v>1563</v>
      </c>
      <c r="C592" s="54" t="s">
        <v>24</v>
      </c>
      <c r="E592" s="1">
        <v>59</v>
      </c>
      <c r="F592" s="309">
        <v>74915</v>
      </c>
      <c r="G592" s="309">
        <v>442</v>
      </c>
      <c r="H592" s="368">
        <f t="shared" si="59"/>
        <v>3.8995028764634443E-7</v>
      </c>
      <c r="J592" s="1">
        <v>64</v>
      </c>
      <c r="K592" s="309">
        <v>60469</v>
      </c>
      <c r="L592" s="309">
        <v>387</v>
      </c>
      <c r="M592" s="368">
        <f t="shared" si="60"/>
        <v>3.453105576197483E-7</v>
      </c>
      <c r="O592" s="1">
        <v>69</v>
      </c>
      <c r="P592" s="309">
        <v>71739</v>
      </c>
      <c r="Q592" s="309">
        <v>495</v>
      </c>
      <c r="R592" s="368">
        <f t="shared" si="61"/>
        <v>4.3206631950908921E-7</v>
      </c>
    </row>
    <row r="593" spans="2:18" x14ac:dyDescent="0.3">
      <c r="B593" s="54" t="s">
        <v>1563</v>
      </c>
      <c r="C593" s="54" t="s">
        <v>25</v>
      </c>
      <c r="E593" s="1">
        <v>710</v>
      </c>
      <c r="F593" s="309">
        <v>198930</v>
      </c>
      <c r="G593" s="309">
        <v>14124</v>
      </c>
      <c r="H593" s="368">
        <f t="shared" si="59"/>
        <v>3.8223237873755588E-5</v>
      </c>
      <c r="J593" s="1">
        <v>719</v>
      </c>
      <c r="K593" s="309">
        <v>236898</v>
      </c>
      <c r="L593" s="309">
        <v>17033</v>
      </c>
      <c r="M593" s="368">
        <f t="shared" si="60"/>
        <v>4.6706433832786064E-5</v>
      </c>
      <c r="O593" s="1">
        <v>714</v>
      </c>
      <c r="P593" s="309">
        <v>207591</v>
      </c>
      <c r="Q593" s="309">
        <v>14822</v>
      </c>
      <c r="R593" s="368">
        <f t="shared" si="61"/>
        <v>4.0079304889759293E-5</v>
      </c>
    </row>
    <row r="594" spans="2:18" x14ac:dyDescent="0.3">
      <c r="B594" s="54" t="s">
        <v>1563</v>
      </c>
      <c r="C594" s="54" t="s">
        <v>1468</v>
      </c>
      <c r="E594" s="1">
        <v>56</v>
      </c>
      <c r="F594" s="309">
        <v>28571</v>
      </c>
      <c r="G594" s="309">
        <v>160</v>
      </c>
      <c r="H594" s="368">
        <f t="shared" si="59"/>
        <v>2.2569294016769283E-7</v>
      </c>
      <c r="J594" s="1">
        <v>13</v>
      </c>
      <c r="K594" s="309">
        <v>14615</v>
      </c>
      <c r="L594" s="309">
        <v>19</v>
      </c>
      <c r="M594" s="368">
        <f t="shared" si="60"/>
        <v>2.6434855173522447E-8</v>
      </c>
      <c r="O594" s="1">
        <v>6</v>
      </c>
      <c r="P594" s="309">
        <v>35000</v>
      </c>
      <c r="Q594" s="309">
        <v>21</v>
      </c>
      <c r="R594" s="368">
        <f t="shared" si="61"/>
        <v>2.9494624276071301E-8</v>
      </c>
    </row>
    <row r="595" spans="2:18" x14ac:dyDescent="0.3">
      <c r="B595" s="54" t="s">
        <v>1563</v>
      </c>
      <c r="C595" s="54" t="s">
        <v>1470</v>
      </c>
      <c r="E595" s="1">
        <v>49974</v>
      </c>
      <c r="F595" s="309">
        <v>743053</v>
      </c>
      <c r="G595" s="309">
        <v>3713331</v>
      </c>
      <c r="H595" s="368">
        <f t="shared" si="59"/>
        <v>2.0522711956036067E-3</v>
      </c>
      <c r="J595" s="1">
        <v>47678</v>
      </c>
      <c r="K595" s="309">
        <v>661629</v>
      </c>
      <c r="L595" s="309">
        <v>3154515</v>
      </c>
      <c r="M595" s="368">
        <f t="shared" si="60"/>
        <v>1.6564796296931325E-3</v>
      </c>
      <c r="O595" s="1">
        <v>45054</v>
      </c>
      <c r="P595" s="309">
        <v>755815</v>
      </c>
      <c r="Q595" s="309">
        <v>3405250</v>
      </c>
      <c r="R595" s="368">
        <f t="shared" si="61"/>
        <v>1.7685163007501142E-3</v>
      </c>
    </row>
    <row r="596" spans="2:18" x14ac:dyDescent="0.3">
      <c r="B596" s="54" t="s">
        <v>15</v>
      </c>
      <c r="C596" s="54" t="s">
        <v>28</v>
      </c>
      <c r="E596" s="1">
        <v>1510</v>
      </c>
      <c r="F596" s="309">
        <v>125755</v>
      </c>
      <c r="G596" s="309">
        <v>18989</v>
      </c>
      <c r="H596" s="368">
        <f t="shared" si="59"/>
        <v>6.7153003554854882E-5</v>
      </c>
      <c r="J596" s="1">
        <v>2000</v>
      </c>
      <c r="K596" s="309">
        <v>130120</v>
      </c>
      <c r="L596" s="309">
        <v>26024</v>
      </c>
      <c r="M596" s="368">
        <f t="shared" si="60"/>
        <v>8.9521833046906927E-5</v>
      </c>
      <c r="O596" s="1">
        <v>2101</v>
      </c>
      <c r="P596" s="309">
        <v>129238</v>
      </c>
      <c r="Q596" s="309">
        <v>27153</v>
      </c>
      <c r="R596" s="368">
        <f t="shared" si="61"/>
        <v>9.0728234974560753E-5</v>
      </c>
    </row>
    <row r="597" spans="2:18" x14ac:dyDescent="0.3">
      <c r="B597" s="54" t="s">
        <v>15</v>
      </c>
      <c r="C597" s="54" t="s">
        <v>24</v>
      </c>
      <c r="E597" s="1">
        <v>7327679</v>
      </c>
      <c r="F597" s="309">
        <v>37888</v>
      </c>
      <c r="G597" s="309">
        <v>27763203</v>
      </c>
      <c r="H597" s="368">
        <f t="shared" si="59"/>
        <v>2.4493821257542653E-2</v>
      </c>
      <c r="J597" s="1">
        <v>7122562</v>
      </c>
      <c r="K597" s="309">
        <v>38146</v>
      </c>
      <c r="L597" s="309">
        <v>27169400</v>
      </c>
      <c r="M597" s="368">
        <f t="shared" si="60"/>
        <v>2.4242585695591706E-2</v>
      </c>
      <c r="O597" s="1">
        <v>6690449</v>
      </c>
      <c r="P597" s="309">
        <v>40697</v>
      </c>
      <c r="Q597" s="309">
        <v>27228242</v>
      </c>
      <c r="R597" s="368">
        <f t="shared" si="61"/>
        <v>2.3766477389177379E-2</v>
      </c>
    </row>
    <row r="598" spans="2:18" x14ac:dyDescent="0.3">
      <c r="B598" s="54" t="s">
        <v>15</v>
      </c>
      <c r="C598" s="54" t="s">
        <v>1472</v>
      </c>
      <c r="E598" s="1">
        <v>65805</v>
      </c>
      <c r="F598" s="309">
        <v>132743</v>
      </c>
      <c r="G598" s="309">
        <v>873518</v>
      </c>
      <c r="H598" s="368">
        <f t="shared" si="59"/>
        <v>2.1821846513810517E-3</v>
      </c>
      <c r="J598" s="1">
        <v>72841</v>
      </c>
      <c r="K598" s="309">
        <v>135044</v>
      </c>
      <c r="L598" s="309">
        <v>983676</v>
      </c>
      <c r="M598" s="368">
        <f t="shared" si="60"/>
        <v>2.4373554146156942E-3</v>
      </c>
      <c r="O598" s="1">
        <v>85530</v>
      </c>
      <c r="P598" s="309">
        <v>139625</v>
      </c>
      <c r="Q598" s="309">
        <v>1194210</v>
      </c>
      <c r="R598" s="368">
        <f t="shared" si="61"/>
        <v>2.9077662987361001E-3</v>
      </c>
    </row>
    <row r="599" spans="2:18" x14ac:dyDescent="0.3">
      <c r="B599" s="54" t="s">
        <v>15</v>
      </c>
      <c r="C599" s="54" t="s">
        <v>25</v>
      </c>
      <c r="E599" s="1">
        <v>59256</v>
      </c>
      <c r="F599" s="309">
        <v>289506</v>
      </c>
      <c r="G599" s="309">
        <v>1715499</v>
      </c>
      <c r="H599" s="368">
        <f t="shared" si="59"/>
        <v>4.6425889513728291E-3</v>
      </c>
      <c r="J599" s="1">
        <v>60303</v>
      </c>
      <c r="K599" s="309">
        <v>298922</v>
      </c>
      <c r="L599" s="309">
        <v>1802592</v>
      </c>
      <c r="M599" s="368">
        <f t="shared" si="60"/>
        <v>4.9429134019555862E-3</v>
      </c>
      <c r="O599" s="1">
        <v>58442</v>
      </c>
      <c r="P599" s="309">
        <v>305242</v>
      </c>
      <c r="Q599" s="309">
        <v>1783896</v>
      </c>
      <c r="R599" s="368">
        <f t="shared" si="61"/>
        <v>4.8237290295251685E-3</v>
      </c>
    </row>
    <row r="600" spans="2:18" x14ac:dyDescent="0.3">
      <c r="B600" s="54" t="s">
        <v>15</v>
      </c>
      <c r="C600" s="54" t="s">
        <v>1468</v>
      </c>
      <c r="E600" s="1">
        <v>41560</v>
      </c>
      <c r="F600" s="309">
        <v>63900</v>
      </c>
      <c r="G600" s="309">
        <v>265567</v>
      </c>
      <c r="H600" s="368">
        <f t="shared" si="59"/>
        <v>3.7460373150946053E-4</v>
      </c>
      <c r="J600" s="1">
        <v>45150</v>
      </c>
      <c r="K600" s="309">
        <v>62849</v>
      </c>
      <c r="L600" s="309">
        <v>283763</v>
      </c>
      <c r="M600" s="368">
        <f t="shared" si="60"/>
        <v>3.9480177940022369E-4</v>
      </c>
      <c r="O600" s="1">
        <v>38518</v>
      </c>
      <c r="P600" s="309">
        <v>63663</v>
      </c>
      <c r="Q600" s="309">
        <v>245217</v>
      </c>
      <c r="R600" s="368">
        <f t="shared" si="61"/>
        <v>3.4440872767168456E-4</v>
      </c>
    </row>
    <row r="601" spans="2:18" x14ac:dyDescent="0.3">
      <c r="B601" s="54" t="s">
        <v>15</v>
      </c>
      <c r="C601" s="54" t="s">
        <v>27</v>
      </c>
      <c r="E601" s="1">
        <v>262602</v>
      </c>
      <c r="F601" s="309">
        <v>16486</v>
      </c>
      <c r="G601" s="309">
        <v>432927</v>
      </c>
      <c r="H601" s="368">
        <f t="shared" si="59"/>
        <v>1.2057816456602886E-3</v>
      </c>
      <c r="J601" s="1">
        <v>190628</v>
      </c>
      <c r="K601" s="309">
        <v>16997</v>
      </c>
      <c r="L601" s="309">
        <v>324011</v>
      </c>
      <c r="M601" s="368">
        <f t="shared" si="60"/>
        <v>9.413767452804713E-4</v>
      </c>
      <c r="O601" s="1">
        <v>145994</v>
      </c>
      <c r="P601" s="309">
        <v>15938</v>
      </c>
      <c r="Q601" s="309">
        <v>232680</v>
      </c>
      <c r="R601" s="368">
        <f t="shared" si="61"/>
        <v>6.9816364059176693E-4</v>
      </c>
    </row>
    <row r="602" spans="2:18" x14ac:dyDescent="0.3">
      <c r="B602" s="54" t="s">
        <v>15</v>
      </c>
      <c r="C602" s="54" t="s">
        <v>1469</v>
      </c>
      <c r="E602" s="1">
        <v>137</v>
      </c>
      <c r="F602" s="309">
        <v>62263</v>
      </c>
      <c r="G602" s="309">
        <v>853</v>
      </c>
      <c r="H602" s="368">
        <f t="shared" si="59"/>
        <v>2.7166522008917995E-6</v>
      </c>
      <c r="J602" s="1">
        <v>246</v>
      </c>
      <c r="K602" s="309">
        <v>35528</v>
      </c>
      <c r="L602" s="309">
        <v>874</v>
      </c>
      <c r="M602" s="368">
        <f t="shared" si="60"/>
        <v>3.1931401937278156E-6</v>
      </c>
      <c r="O602" s="1">
        <v>333</v>
      </c>
      <c r="P602" s="309">
        <v>26757</v>
      </c>
      <c r="Q602" s="309">
        <v>891</v>
      </c>
      <c r="R602" s="368">
        <f t="shared" si="61"/>
        <v>3.1993050721588718E-6</v>
      </c>
    </row>
    <row r="603" spans="2:18" x14ac:dyDescent="0.3">
      <c r="B603" s="54" t="s">
        <v>15</v>
      </c>
      <c r="C603" s="54" t="s">
        <v>1470</v>
      </c>
      <c r="E603" s="1">
        <v>772003</v>
      </c>
      <c r="F603" s="309">
        <v>737756</v>
      </c>
      <c r="G603" s="309">
        <v>56954993</v>
      </c>
      <c r="H603" s="368">
        <f t="shared" si="59"/>
        <v>3.147769255681894E-2</v>
      </c>
      <c r="J603" s="1">
        <v>785905</v>
      </c>
      <c r="K603" s="309">
        <v>723262</v>
      </c>
      <c r="L603" s="309">
        <v>56841523</v>
      </c>
      <c r="M603" s="368">
        <f t="shared" si="60"/>
        <v>2.984827302144186E-2</v>
      </c>
      <c r="O603" s="1">
        <v>795984</v>
      </c>
      <c r="P603" s="309">
        <v>745418</v>
      </c>
      <c r="Q603" s="309">
        <v>59334059</v>
      </c>
      <c r="R603" s="368">
        <f t="shared" si="61"/>
        <v>3.0815138545237212E-2</v>
      </c>
    </row>
    <row r="604" spans="2:18" x14ac:dyDescent="0.3">
      <c r="B604" s="54" t="s">
        <v>15</v>
      </c>
      <c r="C604" s="54" t="s">
        <v>26</v>
      </c>
      <c r="E604" s="1">
        <v>661450</v>
      </c>
      <c r="F604" s="309">
        <v>52967</v>
      </c>
      <c r="G604" s="309">
        <v>3503521</v>
      </c>
      <c r="H604" s="368">
        <f t="shared" si="59"/>
        <v>4.5384288286483988E-3</v>
      </c>
      <c r="J604" s="1">
        <v>541345</v>
      </c>
      <c r="K604" s="309">
        <v>54373</v>
      </c>
      <c r="L604" s="309">
        <v>2943445</v>
      </c>
      <c r="M604" s="368">
        <f t="shared" si="60"/>
        <v>4.0148771936670434E-3</v>
      </c>
      <c r="O604" s="1">
        <v>586543</v>
      </c>
      <c r="P604" s="309">
        <v>55308</v>
      </c>
      <c r="Q604" s="309">
        <v>3244062</v>
      </c>
      <c r="R604" s="368">
        <f t="shared" si="61"/>
        <v>4.2381803859811917E-3</v>
      </c>
    </row>
    <row r="605" spans="2:18" x14ac:dyDescent="0.3">
      <c r="B605" s="54" t="s">
        <v>1564</v>
      </c>
      <c r="C605" s="54" t="s">
        <v>28</v>
      </c>
      <c r="E605" s="1">
        <v>823</v>
      </c>
      <c r="F605" s="309">
        <v>107303</v>
      </c>
      <c r="G605" s="309">
        <v>8831</v>
      </c>
      <c r="H605" s="368">
        <f t="shared" si="59"/>
        <v>3.1230089756855205E-5</v>
      </c>
      <c r="J605" s="1">
        <v>803</v>
      </c>
      <c r="K605" s="309">
        <v>107422</v>
      </c>
      <c r="L605" s="309">
        <v>8626</v>
      </c>
      <c r="M605" s="368">
        <f t="shared" si="60"/>
        <v>2.9673199041754502E-5</v>
      </c>
      <c r="O605" s="1">
        <v>784</v>
      </c>
      <c r="P605" s="309">
        <v>107398</v>
      </c>
      <c r="Q605" s="309">
        <v>8420</v>
      </c>
      <c r="R605" s="368">
        <f t="shared" si="61"/>
        <v>2.8134340164468074E-5</v>
      </c>
    </row>
    <row r="606" spans="2:18" x14ac:dyDescent="0.3">
      <c r="B606" s="54" t="s">
        <v>1564</v>
      </c>
      <c r="C606" s="54" t="s">
        <v>24</v>
      </c>
      <c r="E606" s="1">
        <v>63</v>
      </c>
      <c r="F606" s="309">
        <v>14762</v>
      </c>
      <c r="G606" s="309">
        <v>93</v>
      </c>
      <c r="H606" s="368">
        <f t="shared" si="59"/>
        <v>8.20483636902942E-8</v>
      </c>
      <c r="J606" s="1">
        <v>64</v>
      </c>
      <c r="K606" s="309">
        <v>15000</v>
      </c>
      <c r="L606" s="309">
        <v>96</v>
      </c>
      <c r="M606" s="368">
        <f t="shared" si="60"/>
        <v>8.5658432897922055E-8</v>
      </c>
      <c r="O606" s="1">
        <v>65</v>
      </c>
      <c r="P606" s="309">
        <v>15077</v>
      </c>
      <c r="Q606" s="309">
        <v>98</v>
      </c>
      <c r="R606" s="368">
        <f t="shared" si="61"/>
        <v>8.5540402650284332E-8</v>
      </c>
    </row>
    <row r="607" spans="2:18" x14ac:dyDescent="0.3">
      <c r="B607" s="54" t="s">
        <v>1564</v>
      </c>
      <c r="C607" s="54" t="s">
        <v>1468</v>
      </c>
      <c r="E607" s="1">
        <v>98</v>
      </c>
      <c r="F607" s="309">
        <v>18878</v>
      </c>
      <c r="G607" s="309">
        <v>185</v>
      </c>
      <c r="H607" s="368">
        <f t="shared" si="59"/>
        <v>2.6095746206889483E-7</v>
      </c>
      <c r="J607" s="1">
        <v>99</v>
      </c>
      <c r="K607" s="309">
        <v>19394</v>
      </c>
      <c r="L607" s="309">
        <v>192</v>
      </c>
      <c r="M607" s="368">
        <f t="shared" si="60"/>
        <v>2.6713116806927945E-7</v>
      </c>
      <c r="O607" s="1">
        <v>99</v>
      </c>
      <c r="P607" s="309">
        <v>20101</v>
      </c>
      <c r="Q607" s="309">
        <v>199</v>
      </c>
      <c r="R607" s="368">
        <f t="shared" si="61"/>
        <v>2.7949667766372326E-7</v>
      </c>
    </row>
    <row r="608" spans="2:18" x14ac:dyDescent="0.3">
      <c r="B608" s="54" t="s">
        <v>1565</v>
      </c>
      <c r="C608" s="54" t="s">
        <v>25</v>
      </c>
      <c r="E608" s="1">
        <v>13052</v>
      </c>
      <c r="F608" s="309">
        <v>93325</v>
      </c>
      <c r="G608" s="309">
        <v>121808</v>
      </c>
      <c r="H608" s="368">
        <f t="shared" si="59"/>
        <v>3.2964430465352737E-4</v>
      </c>
      <c r="J608" s="1">
        <v>12775</v>
      </c>
      <c r="K608" s="309">
        <v>132198</v>
      </c>
      <c r="L608" s="309">
        <v>168883</v>
      </c>
      <c r="M608" s="368">
        <f t="shared" si="60"/>
        <v>4.6309649885413072E-4</v>
      </c>
      <c r="O608" s="1">
        <v>17034</v>
      </c>
      <c r="P608" s="309">
        <v>112857</v>
      </c>
      <c r="Q608" s="309">
        <v>192240</v>
      </c>
      <c r="R608" s="368">
        <f t="shared" si="61"/>
        <v>5.1982496100440735E-4</v>
      </c>
    </row>
    <row r="609" spans="2:18" x14ac:dyDescent="0.3">
      <c r="B609" s="54" t="s">
        <v>1565</v>
      </c>
      <c r="C609" s="54" t="s">
        <v>26</v>
      </c>
      <c r="E609" s="1">
        <v>270989</v>
      </c>
      <c r="F609" s="309">
        <v>8538</v>
      </c>
      <c r="G609" s="309">
        <v>231364</v>
      </c>
      <c r="H609" s="368">
        <f t="shared" si="59"/>
        <v>2.9970679425395423E-4</v>
      </c>
      <c r="J609" s="1">
        <v>307897</v>
      </c>
      <c r="K609" s="309">
        <v>14164</v>
      </c>
      <c r="L609" s="309">
        <v>436115</v>
      </c>
      <c r="M609" s="368">
        <f t="shared" si="60"/>
        <v>5.9486355862470774E-4</v>
      </c>
      <c r="O609" s="1">
        <v>321040</v>
      </c>
      <c r="P609" s="309">
        <v>12815</v>
      </c>
      <c r="Q609" s="309">
        <v>411415</v>
      </c>
      <c r="R609" s="368">
        <f t="shared" si="61"/>
        <v>5.3749003055380933E-4</v>
      </c>
    </row>
    <row r="610" spans="2:18" x14ac:dyDescent="0.3">
      <c r="B610" s="54" t="s">
        <v>1566</v>
      </c>
      <c r="C610" s="54" t="s">
        <v>24</v>
      </c>
      <c r="E610" s="1">
        <v>642</v>
      </c>
      <c r="F610" s="309">
        <v>42181</v>
      </c>
      <c r="G610" s="309">
        <v>2708</v>
      </c>
      <c r="H610" s="368">
        <f t="shared" si="59"/>
        <v>2.3891071921862007E-6</v>
      </c>
      <c r="J610" s="1">
        <v>645</v>
      </c>
      <c r="K610" s="309">
        <v>42527</v>
      </c>
      <c r="L610" s="309">
        <v>2743</v>
      </c>
      <c r="M610" s="368">
        <f t="shared" si="60"/>
        <v>2.4475112649895857E-6</v>
      </c>
      <c r="O610" s="1">
        <v>640</v>
      </c>
      <c r="P610" s="309">
        <v>43906</v>
      </c>
      <c r="Q610" s="309">
        <v>2810</v>
      </c>
      <c r="R610" s="368">
        <f t="shared" si="61"/>
        <v>2.4527401168091732E-6</v>
      </c>
    </row>
    <row r="611" spans="2:18" x14ac:dyDescent="0.3">
      <c r="B611" s="54" t="s">
        <v>1566</v>
      </c>
      <c r="C611" s="54" t="s">
        <v>25</v>
      </c>
      <c r="E611" s="1">
        <v>1616</v>
      </c>
      <c r="F611" s="309">
        <v>170173</v>
      </c>
      <c r="G611" s="309">
        <v>27500</v>
      </c>
      <c r="H611" s="368">
        <f t="shared" si="59"/>
        <v>7.4422192121798261E-5</v>
      </c>
      <c r="J611" s="1">
        <v>1619</v>
      </c>
      <c r="K611" s="309">
        <v>161198</v>
      </c>
      <c r="L611" s="309">
        <v>26098</v>
      </c>
      <c r="M611" s="368">
        <f t="shared" si="60"/>
        <v>7.1563700473671734E-5</v>
      </c>
      <c r="O611" s="1">
        <v>1620</v>
      </c>
      <c r="P611" s="309">
        <v>163951</v>
      </c>
      <c r="Q611" s="309">
        <v>26560</v>
      </c>
      <c r="R611" s="368">
        <f t="shared" si="61"/>
        <v>7.1819345423829905E-5</v>
      </c>
    </row>
    <row r="612" spans="2:18" x14ac:dyDescent="0.3">
      <c r="B612" s="54" t="s">
        <v>1566</v>
      </c>
      <c r="C612" s="54" t="s">
        <v>26</v>
      </c>
      <c r="E612" s="1">
        <v>766</v>
      </c>
      <c r="F612" s="309">
        <v>32154</v>
      </c>
      <c r="G612" s="309">
        <v>2463</v>
      </c>
      <c r="H612" s="368">
        <f t="shared" si="59"/>
        <v>3.1905475106217446E-6</v>
      </c>
      <c r="J612" s="1">
        <v>769</v>
      </c>
      <c r="K612" s="309">
        <v>32081</v>
      </c>
      <c r="L612" s="309">
        <v>2467</v>
      </c>
      <c r="M612" s="368">
        <f t="shared" si="60"/>
        <v>3.3650032654853739E-6</v>
      </c>
      <c r="O612" s="1">
        <v>770</v>
      </c>
      <c r="P612" s="309">
        <v>28182</v>
      </c>
      <c r="Q612" s="309">
        <v>2170</v>
      </c>
      <c r="R612" s="368">
        <f t="shared" si="61"/>
        <v>2.8349801691765402E-6</v>
      </c>
    </row>
    <row r="613" spans="2:18" x14ac:dyDescent="0.3">
      <c r="B613" s="54" t="s">
        <v>515</v>
      </c>
      <c r="C613" s="54" t="s">
        <v>24</v>
      </c>
      <c r="E613" s="1">
        <v>130742</v>
      </c>
      <c r="F613" s="309">
        <v>9362</v>
      </c>
      <c r="G613" s="309">
        <v>122399</v>
      </c>
      <c r="H613" s="368">
        <f t="shared" si="59"/>
        <v>1.0798535126159483E-4</v>
      </c>
      <c r="J613" s="1">
        <v>148178</v>
      </c>
      <c r="K613" s="309">
        <v>7990</v>
      </c>
      <c r="L613" s="309">
        <v>118392</v>
      </c>
      <c r="M613" s="368">
        <f t="shared" si="60"/>
        <v>1.0563826237136238E-4</v>
      </c>
      <c r="O613" s="1">
        <v>63292</v>
      </c>
      <c r="P613" s="309">
        <v>6397</v>
      </c>
      <c r="Q613" s="309">
        <v>40491</v>
      </c>
      <c r="R613" s="368">
        <f t="shared" si="61"/>
        <v>3.5343024935843501E-5</v>
      </c>
    </row>
    <row r="614" spans="2:18" x14ac:dyDescent="0.3">
      <c r="B614" s="54" t="s">
        <v>515</v>
      </c>
      <c r="C614" s="54" t="s">
        <v>25</v>
      </c>
      <c r="E614" s="1">
        <v>64293</v>
      </c>
      <c r="F614" s="309">
        <v>299390</v>
      </c>
      <c r="G614" s="309">
        <v>1924871</v>
      </c>
      <c r="H614" s="368">
        <f t="shared" si="59"/>
        <v>5.2092043407882893E-3</v>
      </c>
      <c r="J614" s="1">
        <v>62033</v>
      </c>
      <c r="K614" s="309">
        <v>301315</v>
      </c>
      <c r="L614" s="309">
        <v>1869149</v>
      </c>
      <c r="M614" s="368">
        <f t="shared" si="60"/>
        <v>5.1254203071753792E-3</v>
      </c>
      <c r="O614" s="1">
        <v>62463</v>
      </c>
      <c r="P614" s="309">
        <v>313259</v>
      </c>
      <c r="Q614" s="309">
        <v>1956711</v>
      </c>
      <c r="R614" s="368">
        <f t="shared" si="61"/>
        <v>5.2910279820635401E-3</v>
      </c>
    </row>
    <row r="615" spans="2:18" x14ac:dyDescent="0.3">
      <c r="B615" s="54" t="s">
        <v>515</v>
      </c>
      <c r="C615" s="54" t="s">
        <v>1468</v>
      </c>
      <c r="E615" s="1">
        <v>8013</v>
      </c>
      <c r="F615" s="309">
        <v>72005</v>
      </c>
      <c r="G615" s="309">
        <v>57698</v>
      </c>
      <c r="H615" s="368">
        <f t="shared" si="59"/>
        <v>8.1387695386222141E-5</v>
      </c>
      <c r="J615" s="1">
        <v>8091</v>
      </c>
      <c r="K615" s="309">
        <v>77910</v>
      </c>
      <c r="L615" s="309">
        <v>63037</v>
      </c>
      <c r="M615" s="368">
        <f t="shared" si="60"/>
        <v>8.7703892924912338E-5</v>
      </c>
      <c r="O615" s="1">
        <v>7973</v>
      </c>
      <c r="P615" s="309">
        <v>81021</v>
      </c>
      <c r="Q615" s="309">
        <v>64598</v>
      </c>
      <c r="R615" s="368">
        <f t="shared" si="61"/>
        <v>9.0728273285031137E-5</v>
      </c>
    </row>
    <row r="616" spans="2:18" x14ac:dyDescent="0.3">
      <c r="B616" s="54" t="s">
        <v>515</v>
      </c>
      <c r="C616" s="54" t="s">
        <v>27</v>
      </c>
      <c r="E616" s="1">
        <v>754</v>
      </c>
      <c r="F616" s="309">
        <v>9735</v>
      </c>
      <c r="G616" s="309">
        <v>734</v>
      </c>
      <c r="H616" s="368">
        <f t="shared" si="59"/>
        <v>2.0443255512237671E-6</v>
      </c>
      <c r="J616" s="1">
        <v>686</v>
      </c>
      <c r="K616" s="309">
        <v>9767</v>
      </c>
      <c r="L616" s="309">
        <v>670</v>
      </c>
      <c r="M616" s="368">
        <f t="shared" si="60"/>
        <v>1.9466080452142544E-6</v>
      </c>
      <c r="O616" s="1">
        <v>701</v>
      </c>
      <c r="P616" s="309">
        <v>9929</v>
      </c>
      <c r="Q616" s="309">
        <v>696</v>
      </c>
      <c r="R616" s="368">
        <f t="shared" si="61"/>
        <v>2.0883698377680496E-6</v>
      </c>
    </row>
    <row r="617" spans="2:18" x14ac:dyDescent="0.3">
      <c r="B617" s="54" t="s">
        <v>515</v>
      </c>
      <c r="C617" s="54" t="s">
        <v>1469</v>
      </c>
      <c r="E617" s="1">
        <v>57794</v>
      </c>
      <c r="F617" s="309">
        <v>647375</v>
      </c>
      <c r="G617" s="309">
        <v>3741438</v>
      </c>
      <c r="H617" s="368">
        <f t="shared" si="59"/>
        <v>1.1915809820867776E-2</v>
      </c>
      <c r="J617" s="1">
        <v>53960</v>
      </c>
      <c r="K617" s="309">
        <v>687642</v>
      </c>
      <c r="L617" s="309">
        <v>3710514</v>
      </c>
      <c r="M617" s="368">
        <f t="shared" si="60"/>
        <v>1.3556283058111867E-2</v>
      </c>
      <c r="O617" s="1">
        <v>57171</v>
      </c>
      <c r="P617" s="309">
        <v>645937</v>
      </c>
      <c r="Q617" s="309">
        <v>3692884</v>
      </c>
      <c r="R617" s="368">
        <f t="shared" si="61"/>
        <v>1.3260002819410036E-2</v>
      </c>
    </row>
    <row r="618" spans="2:18" x14ac:dyDescent="0.3">
      <c r="B618" s="54" t="s">
        <v>515</v>
      </c>
      <c r="C618" s="54" t="s">
        <v>1470</v>
      </c>
      <c r="E618" s="1">
        <v>10596</v>
      </c>
      <c r="F618" s="309">
        <v>522004</v>
      </c>
      <c r="G618" s="309">
        <v>553115</v>
      </c>
      <c r="H618" s="368">
        <f t="shared" si="59"/>
        <v>3.0569372414047897E-4</v>
      </c>
      <c r="J618" s="1">
        <v>8746</v>
      </c>
      <c r="K618" s="309">
        <v>704452</v>
      </c>
      <c r="L618" s="309">
        <v>616114</v>
      </c>
      <c r="M618" s="368">
        <f t="shared" si="60"/>
        <v>3.2353001668045789E-4</v>
      </c>
      <c r="O618" s="1">
        <v>11306</v>
      </c>
      <c r="P618" s="309">
        <v>459009</v>
      </c>
      <c r="Q618" s="309">
        <v>518956</v>
      </c>
      <c r="R618" s="368">
        <f t="shared" si="61"/>
        <v>2.6951975489966266E-4</v>
      </c>
    </row>
    <row r="619" spans="2:18" x14ac:dyDescent="0.3">
      <c r="B619" s="54" t="s">
        <v>515</v>
      </c>
      <c r="C619" s="54" t="s">
        <v>26</v>
      </c>
      <c r="E619" s="1">
        <v>3384225</v>
      </c>
      <c r="F619" s="309">
        <v>20953</v>
      </c>
      <c r="G619" s="309">
        <v>7090817</v>
      </c>
      <c r="H619" s="368">
        <f t="shared" si="59"/>
        <v>9.1853790205539375E-3</v>
      </c>
      <c r="J619" s="1">
        <v>2842748</v>
      </c>
      <c r="K619" s="309">
        <v>25752</v>
      </c>
      <c r="L619" s="309">
        <v>7320620</v>
      </c>
      <c r="M619" s="368">
        <f t="shared" si="60"/>
        <v>9.9853709790748025E-3</v>
      </c>
      <c r="O619" s="1">
        <v>2505987</v>
      </c>
      <c r="P619" s="309">
        <v>16063</v>
      </c>
      <c r="Q619" s="309">
        <v>4025303</v>
      </c>
      <c r="R619" s="368">
        <f t="shared" si="61"/>
        <v>5.2588268110261909E-3</v>
      </c>
    </row>
    <row r="620" spans="2:18" x14ac:dyDescent="0.3">
      <c r="B620" s="54" t="s">
        <v>1567</v>
      </c>
      <c r="C620" s="54" t="s">
        <v>28</v>
      </c>
      <c r="E620" s="1">
        <v>750000</v>
      </c>
      <c r="F620" s="309">
        <v>51560</v>
      </c>
      <c r="G620" s="309">
        <v>3867000</v>
      </c>
      <c r="H620" s="368">
        <f t="shared" si="59"/>
        <v>1.3675320698647839E-2</v>
      </c>
      <c r="J620" s="1">
        <v>728240</v>
      </c>
      <c r="K620" s="309">
        <v>56837</v>
      </c>
      <c r="L620" s="309">
        <v>4139120</v>
      </c>
      <c r="M620" s="368">
        <f t="shared" si="60"/>
        <v>1.4238457178032331E-2</v>
      </c>
      <c r="O620" s="1">
        <v>695802</v>
      </c>
      <c r="P620" s="309">
        <v>57307</v>
      </c>
      <c r="Q620" s="309">
        <v>3987446</v>
      </c>
      <c r="R620" s="368">
        <f t="shared" si="61"/>
        <v>1.3323534697321563E-2</v>
      </c>
    </row>
    <row r="621" spans="2:18" x14ac:dyDescent="0.3">
      <c r="B621" s="54" t="s">
        <v>1567</v>
      </c>
      <c r="C621" s="54" t="s">
        <v>24</v>
      </c>
      <c r="E621" s="1">
        <v>1654000</v>
      </c>
      <c r="F621" s="309">
        <v>7400</v>
      </c>
      <c r="G621" s="309">
        <v>1224000</v>
      </c>
      <c r="H621" s="368">
        <f t="shared" si="59"/>
        <v>1.0798623350206462E-3</v>
      </c>
      <c r="J621" s="1">
        <v>3087945</v>
      </c>
      <c r="K621" s="309">
        <v>8083</v>
      </c>
      <c r="L621" s="309">
        <v>2496000</v>
      </c>
      <c r="M621" s="368">
        <f t="shared" si="60"/>
        <v>2.2271192553459736E-3</v>
      </c>
      <c r="O621" s="1">
        <v>2619612</v>
      </c>
      <c r="P621" s="309">
        <v>7959</v>
      </c>
      <c r="Q621" s="309">
        <v>2085000</v>
      </c>
      <c r="R621" s="368">
        <f t="shared" si="61"/>
        <v>1.8199157094473757E-3</v>
      </c>
    </row>
    <row r="622" spans="2:18" x14ac:dyDescent="0.3">
      <c r="B622" s="54" t="s">
        <v>1567</v>
      </c>
      <c r="C622" s="54" t="s">
        <v>25</v>
      </c>
      <c r="E622" s="1">
        <v>17800</v>
      </c>
      <c r="F622" s="309">
        <v>165506</v>
      </c>
      <c r="G622" s="309">
        <v>294600</v>
      </c>
      <c r="H622" s="368">
        <f t="shared" si="59"/>
        <v>7.9726464723933711E-4</v>
      </c>
      <c r="J622" s="1">
        <v>20372</v>
      </c>
      <c r="K622" s="309">
        <v>157370</v>
      </c>
      <c r="L622" s="309">
        <v>320595</v>
      </c>
      <c r="M622" s="368">
        <f t="shared" si="60"/>
        <v>8.7910815209429037E-4</v>
      </c>
      <c r="O622" s="1">
        <v>18950</v>
      </c>
      <c r="P622" s="309">
        <v>157157</v>
      </c>
      <c r="Q622" s="309">
        <v>297812</v>
      </c>
      <c r="R622" s="368">
        <f t="shared" si="61"/>
        <v>8.0529604289765174E-4</v>
      </c>
    </row>
    <row r="623" spans="2:18" x14ac:dyDescent="0.3">
      <c r="B623" s="54" t="s">
        <v>1567</v>
      </c>
      <c r="C623" s="54" t="s">
        <v>1468</v>
      </c>
      <c r="E623" s="1">
        <v>325000</v>
      </c>
      <c r="F623" s="309">
        <v>4246</v>
      </c>
      <c r="G623" s="309">
        <v>138000</v>
      </c>
      <c r="H623" s="368">
        <f t="shared" si="59"/>
        <v>1.9466016089463508E-4</v>
      </c>
      <c r="J623" s="1">
        <v>869572</v>
      </c>
      <c r="K623" s="309">
        <v>4749</v>
      </c>
      <c r="L623" s="309">
        <v>413000</v>
      </c>
      <c r="M623" s="368">
        <f t="shared" si="60"/>
        <v>5.7461027298235626E-4</v>
      </c>
      <c r="O623" s="1">
        <v>724801</v>
      </c>
      <c r="P623" s="309">
        <v>4705</v>
      </c>
      <c r="Q623" s="309">
        <v>341000</v>
      </c>
      <c r="R623" s="368">
        <f t="shared" si="61"/>
        <v>4.7893651800668161E-4</v>
      </c>
    </row>
    <row r="624" spans="2:18" x14ac:dyDescent="0.3">
      <c r="B624" s="54" t="s">
        <v>1567</v>
      </c>
      <c r="C624" s="54" t="s">
        <v>1470</v>
      </c>
      <c r="E624" s="1">
        <v>43226</v>
      </c>
      <c r="F624" s="309">
        <v>670984</v>
      </c>
      <c r="G624" s="309">
        <v>2900397</v>
      </c>
      <c r="H624" s="368">
        <f t="shared" si="59"/>
        <v>1.6029815868596454E-3</v>
      </c>
      <c r="J624" s="1">
        <v>53048</v>
      </c>
      <c r="K624" s="309">
        <v>688056</v>
      </c>
      <c r="L624" s="309">
        <v>3650000</v>
      </c>
      <c r="M624" s="368">
        <f t="shared" si="60"/>
        <v>1.9166656834346749E-3</v>
      </c>
      <c r="O624" s="1">
        <v>59059</v>
      </c>
      <c r="P624" s="309">
        <v>695385</v>
      </c>
      <c r="Q624" s="309">
        <v>4106873</v>
      </c>
      <c r="R624" s="368">
        <f t="shared" si="61"/>
        <v>2.1329041467177223E-3</v>
      </c>
    </row>
    <row r="625" spans="2:18" x14ac:dyDescent="0.3">
      <c r="B625" s="54" t="s">
        <v>1567</v>
      </c>
      <c r="C625" s="54" t="s">
        <v>26</v>
      </c>
      <c r="E625" s="1">
        <v>15500</v>
      </c>
      <c r="F625" s="309">
        <v>11032</v>
      </c>
      <c r="G625" s="309">
        <v>17100</v>
      </c>
      <c r="H625" s="368">
        <f t="shared" si="59"/>
        <v>2.2151182473256935E-5</v>
      </c>
      <c r="J625" s="1">
        <v>14853</v>
      </c>
      <c r="K625" s="309">
        <v>11486</v>
      </c>
      <c r="L625" s="309">
        <v>17060</v>
      </c>
      <c r="M625" s="368">
        <f t="shared" si="60"/>
        <v>2.3269945565131934E-5</v>
      </c>
      <c r="O625" s="1">
        <v>15776</v>
      </c>
      <c r="P625" s="309">
        <v>11524</v>
      </c>
      <c r="Q625" s="309">
        <v>18180</v>
      </c>
      <c r="R625" s="368">
        <f t="shared" si="61"/>
        <v>2.3751124182317743E-5</v>
      </c>
    </row>
    <row r="626" spans="2:18" x14ac:dyDescent="0.3">
      <c r="B626" s="54" t="s">
        <v>1568</v>
      </c>
      <c r="C626" s="54" t="s">
        <v>28</v>
      </c>
      <c r="E626" s="1">
        <v>34705</v>
      </c>
      <c r="F626" s="309">
        <v>114899</v>
      </c>
      <c r="G626" s="309">
        <v>398758</v>
      </c>
      <c r="H626" s="368">
        <f t="shared" si="59"/>
        <v>1.4101741740758767E-3</v>
      </c>
      <c r="J626" s="1">
        <v>33373</v>
      </c>
      <c r="K626" s="309">
        <v>118247</v>
      </c>
      <c r="L626" s="309">
        <v>394627</v>
      </c>
      <c r="M626" s="368">
        <f t="shared" si="60"/>
        <v>1.3575058565094428E-3</v>
      </c>
      <c r="O626" s="1">
        <v>33067</v>
      </c>
      <c r="P626" s="309">
        <v>118681</v>
      </c>
      <c r="Q626" s="309">
        <v>392443</v>
      </c>
      <c r="R626" s="368">
        <f t="shared" si="61"/>
        <v>1.3112974889743876E-3</v>
      </c>
    </row>
    <row r="627" spans="2:18" x14ac:dyDescent="0.3">
      <c r="B627" s="54" t="s">
        <v>1568</v>
      </c>
      <c r="C627" s="54" t="s">
        <v>24</v>
      </c>
      <c r="E627" s="1">
        <v>500630</v>
      </c>
      <c r="F627" s="309">
        <v>38138</v>
      </c>
      <c r="G627" s="309">
        <v>1909295</v>
      </c>
      <c r="H627" s="368">
        <f t="shared" si="59"/>
        <v>1.6844573177640888E-3</v>
      </c>
      <c r="J627" s="1">
        <v>519227</v>
      </c>
      <c r="K627" s="309">
        <v>38213</v>
      </c>
      <c r="L627" s="309">
        <v>1984136</v>
      </c>
      <c r="M627" s="368">
        <f t="shared" si="60"/>
        <v>1.7703956293369945E-3</v>
      </c>
      <c r="O627" s="1">
        <v>515714</v>
      </c>
      <c r="P627" s="309">
        <v>38505</v>
      </c>
      <c r="Q627" s="309">
        <v>1985765</v>
      </c>
      <c r="R627" s="368">
        <f t="shared" si="61"/>
        <v>1.7332973231514476E-3</v>
      </c>
    </row>
    <row r="628" spans="2:18" x14ac:dyDescent="0.3">
      <c r="B628" s="54" t="s">
        <v>1568</v>
      </c>
      <c r="C628" s="54" t="s">
        <v>25</v>
      </c>
      <c r="E628" s="1">
        <v>32705</v>
      </c>
      <c r="F628" s="309">
        <v>152866</v>
      </c>
      <c r="G628" s="309">
        <v>499949</v>
      </c>
      <c r="H628" s="368">
        <f t="shared" si="59"/>
        <v>1.3529927465127608E-3</v>
      </c>
      <c r="J628" s="1">
        <v>31931</v>
      </c>
      <c r="K628" s="309">
        <v>152997</v>
      </c>
      <c r="L628" s="309">
        <v>488535</v>
      </c>
      <c r="M628" s="368">
        <f t="shared" si="60"/>
        <v>1.3396188371103234E-3</v>
      </c>
      <c r="O628" s="1">
        <v>31355</v>
      </c>
      <c r="P628" s="309">
        <v>154943</v>
      </c>
      <c r="Q628" s="309">
        <v>485823</v>
      </c>
      <c r="R628" s="368">
        <f t="shared" si="61"/>
        <v>1.3136856118916157E-3</v>
      </c>
    </row>
    <row r="629" spans="2:18" x14ac:dyDescent="0.3">
      <c r="B629" s="54" t="s">
        <v>1568</v>
      </c>
      <c r="C629" s="54" t="s">
        <v>1468</v>
      </c>
      <c r="E629" s="1">
        <v>6945982</v>
      </c>
      <c r="F629" s="309">
        <v>38218</v>
      </c>
      <c r="G629" s="309">
        <v>26546386</v>
      </c>
      <c r="H629" s="368">
        <f t="shared" si="59"/>
        <v>3.7445824419790497E-2</v>
      </c>
      <c r="J629" s="1">
        <v>7149311</v>
      </c>
      <c r="K629" s="309">
        <v>38568</v>
      </c>
      <c r="L629" s="309">
        <v>27573589</v>
      </c>
      <c r="M629" s="368">
        <f t="shared" si="60"/>
        <v>3.8363359569959558E-2</v>
      </c>
      <c r="O629" s="1">
        <v>6920875</v>
      </c>
      <c r="P629" s="309">
        <v>37957</v>
      </c>
      <c r="Q629" s="309">
        <v>26269814</v>
      </c>
      <c r="R629" s="368">
        <f t="shared" si="61"/>
        <v>3.6896109225346557E-2</v>
      </c>
    </row>
    <row r="630" spans="2:18" x14ac:dyDescent="0.3">
      <c r="B630" s="54" t="s">
        <v>1568</v>
      </c>
      <c r="C630" s="54" t="s">
        <v>27</v>
      </c>
      <c r="E630" s="1">
        <v>139743</v>
      </c>
      <c r="F630" s="309">
        <v>10409</v>
      </c>
      <c r="G630" s="309">
        <v>145465</v>
      </c>
      <c r="H630" s="368">
        <f t="shared" si="59"/>
        <v>4.0514688870403988E-4</v>
      </c>
      <c r="J630" s="1">
        <v>138988</v>
      </c>
      <c r="K630" s="309">
        <v>10340</v>
      </c>
      <c r="L630" s="309">
        <v>143717</v>
      </c>
      <c r="M630" s="368">
        <f t="shared" si="60"/>
        <v>4.1755323646874181E-4</v>
      </c>
      <c r="O630" s="1">
        <v>137474</v>
      </c>
      <c r="P630" s="309">
        <v>10325</v>
      </c>
      <c r="Q630" s="309">
        <v>141939</v>
      </c>
      <c r="R630" s="368">
        <f t="shared" si="61"/>
        <v>4.258924229927575E-4</v>
      </c>
    </row>
    <row r="631" spans="2:18" x14ac:dyDescent="0.3">
      <c r="B631" s="54" t="s">
        <v>1568</v>
      </c>
      <c r="C631" s="54" t="s">
        <v>1470</v>
      </c>
      <c r="E631" s="1">
        <v>163256</v>
      </c>
      <c r="F631" s="309">
        <v>635201</v>
      </c>
      <c r="G631" s="309">
        <v>10370042</v>
      </c>
      <c r="H631" s="368">
        <f t="shared" si="59"/>
        <v>5.7312796768722247E-3</v>
      </c>
      <c r="J631" s="1">
        <v>179956</v>
      </c>
      <c r="K631" s="309">
        <v>633332</v>
      </c>
      <c r="L631" s="309">
        <v>11397183</v>
      </c>
      <c r="M631" s="368">
        <f t="shared" si="60"/>
        <v>5.9848190531301528E-3</v>
      </c>
      <c r="O631" s="1">
        <v>182158</v>
      </c>
      <c r="P631" s="309">
        <v>650324</v>
      </c>
      <c r="Q631" s="309">
        <v>11846176</v>
      </c>
      <c r="R631" s="368">
        <f t="shared" si="61"/>
        <v>6.1523105080551459E-3</v>
      </c>
    </row>
    <row r="632" spans="2:18" x14ac:dyDescent="0.3">
      <c r="B632" s="54" t="s">
        <v>1568</v>
      </c>
      <c r="C632" s="54" t="s">
        <v>26</v>
      </c>
      <c r="E632" s="1">
        <v>65448</v>
      </c>
      <c r="F632" s="309">
        <v>18832</v>
      </c>
      <c r="G632" s="309">
        <v>123252</v>
      </c>
      <c r="H632" s="368">
        <f t="shared" si="59"/>
        <v>1.5965950539145404E-4</v>
      </c>
      <c r="J632" s="1">
        <v>61940</v>
      </c>
      <c r="K632" s="309">
        <v>18727</v>
      </c>
      <c r="L632" s="309">
        <v>115996</v>
      </c>
      <c r="M632" s="368">
        <f t="shared" si="60"/>
        <v>1.5821926176864265E-4</v>
      </c>
      <c r="O632" s="1">
        <v>58866</v>
      </c>
      <c r="P632" s="309">
        <v>18799</v>
      </c>
      <c r="Q632" s="309">
        <v>110663</v>
      </c>
      <c r="R632" s="368">
        <f t="shared" si="61"/>
        <v>1.4457484353068363E-4</v>
      </c>
    </row>
    <row r="633" spans="2:18" x14ac:dyDescent="0.3">
      <c r="B633" s="54" t="s">
        <v>1569</v>
      </c>
      <c r="C633" s="54" t="s">
        <v>24</v>
      </c>
      <c r="E633" s="1">
        <v>30174</v>
      </c>
      <c r="F633" s="309">
        <v>23542</v>
      </c>
      <c r="G633" s="309">
        <v>71037</v>
      </c>
      <c r="H633" s="368">
        <f t="shared" si="59"/>
        <v>6.2671716252337941E-5</v>
      </c>
      <c r="J633" s="1">
        <v>25172</v>
      </c>
      <c r="K633" s="309">
        <v>23539</v>
      </c>
      <c r="L633" s="309">
        <v>59253</v>
      </c>
      <c r="M633" s="368">
        <f t="shared" si="60"/>
        <v>5.2869990880214331E-5</v>
      </c>
      <c r="O633" s="1">
        <v>35000</v>
      </c>
      <c r="P633" s="309">
        <v>12857</v>
      </c>
      <c r="Q633" s="309">
        <v>45000</v>
      </c>
      <c r="R633" s="368">
        <f t="shared" si="61"/>
        <v>3.9278756319008112E-5</v>
      </c>
    </row>
    <row r="634" spans="2:18" x14ac:dyDescent="0.3">
      <c r="B634" s="54" t="s">
        <v>1569</v>
      </c>
      <c r="C634" s="54" t="s">
        <v>25</v>
      </c>
      <c r="E634" s="1">
        <v>1396</v>
      </c>
      <c r="F634" s="309">
        <v>121433</v>
      </c>
      <c r="G634" s="309">
        <v>16952</v>
      </c>
      <c r="H634" s="368">
        <f t="shared" si="59"/>
        <v>4.5876545485408151E-5</v>
      </c>
      <c r="J634" s="1">
        <v>1464</v>
      </c>
      <c r="K634" s="309">
        <v>121503</v>
      </c>
      <c r="L634" s="309">
        <v>17788</v>
      </c>
      <c r="M634" s="368">
        <f t="shared" si="60"/>
        <v>4.8776730171878034E-5</v>
      </c>
      <c r="O634" s="1">
        <v>1533</v>
      </c>
      <c r="P634" s="309">
        <v>121689</v>
      </c>
      <c r="Q634" s="309">
        <v>18655</v>
      </c>
      <c r="R634" s="368">
        <f t="shared" si="61"/>
        <v>5.0443896418732935E-5</v>
      </c>
    </row>
    <row r="635" spans="2:18" x14ac:dyDescent="0.3">
      <c r="B635" s="54" t="s">
        <v>1569</v>
      </c>
      <c r="C635" s="54" t="s">
        <v>26</v>
      </c>
      <c r="E635" s="1">
        <v>1149</v>
      </c>
      <c r="F635" s="309">
        <v>53037</v>
      </c>
      <c r="G635" s="309">
        <v>6094</v>
      </c>
      <c r="H635" s="368">
        <f t="shared" si="59"/>
        <v>7.8941114615220911E-6</v>
      </c>
      <c r="J635" s="1">
        <v>1149</v>
      </c>
      <c r="K635" s="309">
        <v>53037</v>
      </c>
      <c r="L635" s="309">
        <v>6094</v>
      </c>
      <c r="M635" s="368">
        <f t="shared" si="60"/>
        <v>8.312253708904689E-6</v>
      </c>
      <c r="O635" s="1">
        <v>2000</v>
      </c>
      <c r="P635" s="309">
        <v>30500</v>
      </c>
      <c r="Q635" s="309">
        <v>6100</v>
      </c>
      <c r="R635" s="368">
        <f t="shared" si="61"/>
        <v>7.9692990930769107E-6</v>
      </c>
    </row>
    <row r="636" spans="2:18" x14ac:dyDescent="0.3">
      <c r="B636" s="54" t="s">
        <v>1856</v>
      </c>
      <c r="C636" s="54" t="s">
        <v>24</v>
      </c>
      <c r="E636" s="1">
        <v>0</v>
      </c>
      <c r="F636" s="309"/>
      <c r="G636" s="309">
        <v>1</v>
      </c>
      <c r="H636" s="368">
        <f t="shared" si="59"/>
        <v>8.8224046978810959E-10</v>
      </c>
      <c r="J636" s="1">
        <v>0</v>
      </c>
      <c r="K636" s="309"/>
      <c r="L636" s="309">
        <v>1</v>
      </c>
      <c r="M636" s="368">
        <f t="shared" si="60"/>
        <v>8.9227534268668818E-10</v>
      </c>
      <c r="O636" s="1">
        <v>0</v>
      </c>
      <c r="P636" s="309"/>
      <c r="Q636" s="309">
        <v>0</v>
      </c>
      <c r="R636" s="368">
        <f t="shared" si="61"/>
        <v>0</v>
      </c>
    </row>
    <row r="637" spans="2:18" x14ac:dyDescent="0.3">
      <c r="B637" s="54" t="s">
        <v>1570</v>
      </c>
      <c r="C637" s="54" t="s">
        <v>24</v>
      </c>
      <c r="E637" s="1">
        <v>900288</v>
      </c>
      <c r="F637" s="309">
        <v>25549</v>
      </c>
      <c r="G637" s="309">
        <v>2300121</v>
      </c>
      <c r="H637" s="368">
        <f t="shared" si="59"/>
        <v>2.0292598316094964E-3</v>
      </c>
      <c r="J637" s="1">
        <v>954158</v>
      </c>
      <c r="K637" s="309">
        <v>26569</v>
      </c>
      <c r="L637" s="309">
        <v>2535060</v>
      </c>
      <c r="M637" s="368">
        <f t="shared" si="60"/>
        <v>2.2619715302313157E-3</v>
      </c>
      <c r="O637" s="1">
        <v>940886</v>
      </c>
      <c r="P637" s="309">
        <v>28199</v>
      </c>
      <c r="Q637" s="309">
        <v>2653243</v>
      </c>
      <c r="R637" s="368">
        <f t="shared" si="61"/>
        <v>2.3159130056025342E-3</v>
      </c>
    </row>
    <row r="638" spans="2:18" x14ac:dyDescent="0.3">
      <c r="B638" s="54" t="s">
        <v>1570</v>
      </c>
      <c r="C638" s="54" t="s">
        <v>25</v>
      </c>
      <c r="E638" s="1">
        <v>194115</v>
      </c>
      <c r="F638" s="309">
        <v>138631</v>
      </c>
      <c r="G638" s="309">
        <v>2691037</v>
      </c>
      <c r="H638" s="368">
        <f t="shared" si="59"/>
        <v>7.2826499134860962E-3</v>
      </c>
      <c r="J638" s="1">
        <v>195268</v>
      </c>
      <c r="K638" s="309">
        <v>158142</v>
      </c>
      <c r="L638" s="309">
        <v>3088000</v>
      </c>
      <c r="M638" s="368">
        <f t="shared" si="60"/>
        <v>8.4676491326039667E-3</v>
      </c>
      <c r="O638" s="1">
        <v>193997</v>
      </c>
      <c r="P638" s="309">
        <v>160464</v>
      </c>
      <c r="Q638" s="309">
        <v>3112947</v>
      </c>
      <c r="R638" s="368">
        <f t="shared" si="61"/>
        <v>8.4175382484591495E-3</v>
      </c>
    </row>
    <row r="639" spans="2:18" x14ac:dyDescent="0.3">
      <c r="B639" s="54" t="s">
        <v>1570</v>
      </c>
      <c r="C639" s="54" t="s">
        <v>1468</v>
      </c>
      <c r="E639" s="1">
        <v>1552469</v>
      </c>
      <c r="F639" s="309">
        <v>33690</v>
      </c>
      <c r="G639" s="309">
        <v>5230327</v>
      </c>
      <c r="H639" s="368">
        <f t="shared" si="59"/>
        <v>7.3777992416779277E-3</v>
      </c>
      <c r="J639" s="1">
        <v>1469545</v>
      </c>
      <c r="K639" s="309">
        <v>35058</v>
      </c>
      <c r="L639" s="309">
        <v>5151925</v>
      </c>
      <c r="M639" s="368">
        <f t="shared" si="60"/>
        <v>7.1679153284131382E-3</v>
      </c>
      <c r="O639" s="1">
        <v>1491744</v>
      </c>
      <c r="P639" s="309">
        <v>37607</v>
      </c>
      <c r="Q639" s="309">
        <v>5610011</v>
      </c>
      <c r="R639" s="368">
        <f t="shared" si="61"/>
        <v>7.8792936490298584E-3</v>
      </c>
    </row>
    <row r="640" spans="2:18" x14ac:dyDescent="0.3">
      <c r="B640" s="54" t="s">
        <v>1570</v>
      </c>
      <c r="C640" s="54" t="s">
        <v>27</v>
      </c>
      <c r="E640" s="1">
        <v>23563</v>
      </c>
      <c r="F640" s="309">
        <v>12333</v>
      </c>
      <c r="G640" s="309">
        <v>29061</v>
      </c>
      <c r="H640" s="368">
        <f t="shared" si="59"/>
        <v>8.0940251831217847E-5</v>
      </c>
      <c r="J640" s="1">
        <v>21897</v>
      </c>
      <c r="K640" s="309">
        <v>12641</v>
      </c>
      <c r="L640" s="309">
        <v>27681</v>
      </c>
      <c r="M640" s="368">
        <f t="shared" si="60"/>
        <v>8.0423966118769809E-5</v>
      </c>
      <c r="O640" s="1">
        <v>25179</v>
      </c>
      <c r="P640" s="309">
        <v>12537</v>
      </c>
      <c r="Q640" s="309">
        <v>31567</v>
      </c>
      <c r="R640" s="368">
        <f t="shared" si="61"/>
        <v>9.4717773949459799E-5</v>
      </c>
    </row>
    <row r="641" spans="2:18" x14ac:dyDescent="0.3">
      <c r="B641" s="54" t="s">
        <v>1570</v>
      </c>
      <c r="C641" s="54" t="s">
        <v>1470</v>
      </c>
      <c r="E641" s="1">
        <v>71466</v>
      </c>
      <c r="F641" s="309">
        <v>452622</v>
      </c>
      <c r="G641" s="309">
        <v>3234711</v>
      </c>
      <c r="H641" s="368">
        <f t="shared" si="59"/>
        <v>1.7877491156598046E-3</v>
      </c>
      <c r="J641" s="1">
        <v>78609</v>
      </c>
      <c r="K641" s="309">
        <v>452643</v>
      </c>
      <c r="L641" s="309">
        <v>3558182</v>
      </c>
      <c r="M641" s="368">
        <f t="shared" si="60"/>
        <v>1.8684507766616324E-3</v>
      </c>
      <c r="O641" s="1">
        <v>71625</v>
      </c>
      <c r="P641" s="309">
        <v>496745</v>
      </c>
      <c r="Q641" s="309">
        <v>3557934</v>
      </c>
      <c r="R641" s="368">
        <f t="shared" si="61"/>
        <v>1.8478127232928734E-3</v>
      </c>
    </row>
    <row r="642" spans="2:18" x14ac:dyDescent="0.3">
      <c r="B642" s="54" t="s">
        <v>1570</v>
      </c>
      <c r="C642" s="54" t="s">
        <v>26</v>
      </c>
      <c r="E642" s="1">
        <v>735850</v>
      </c>
      <c r="F642" s="309">
        <v>25538</v>
      </c>
      <c r="G642" s="309">
        <v>1879191</v>
      </c>
      <c r="H642" s="368">
        <f t="shared" si="59"/>
        <v>2.4342867101229343E-3</v>
      </c>
      <c r="J642" s="1">
        <v>706843</v>
      </c>
      <c r="K642" s="309">
        <v>27573</v>
      </c>
      <c r="L642" s="309">
        <v>1949001</v>
      </c>
      <c r="M642" s="368">
        <f t="shared" si="60"/>
        <v>2.6584494241727844E-3</v>
      </c>
      <c r="O642" s="1">
        <v>703992</v>
      </c>
      <c r="P642" s="309">
        <v>28490</v>
      </c>
      <c r="Q642" s="309">
        <v>2005665</v>
      </c>
      <c r="R642" s="368">
        <f t="shared" si="61"/>
        <v>2.6202859451665739E-3</v>
      </c>
    </row>
    <row r="643" spans="2:18" x14ac:dyDescent="0.3">
      <c r="B643" s="54" t="s">
        <v>1571</v>
      </c>
      <c r="C643" s="54" t="s">
        <v>24</v>
      </c>
      <c r="E643" s="1">
        <v>8671</v>
      </c>
      <c r="F643" s="309">
        <v>134599</v>
      </c>
      <c r="G643" s="309">
        <v>116711</v>
      </c>
      <c r="H643" s="368">
        <f t="shared" ref="H643:H706" si="62">G643/(VLOOKUP($C643,$W$5:$Z$13,2,FALSE)*10^6)</f>
        <v>1.0296716746944007E-4</v>
      </c>
      <c r="J643" s="1">
        <v>13760</v>
      </c>
      <c r="K643" s="309">
        <v>64884</v>
      </c>
      <c r="L643" s="309">
        <v>89280</v>
      </c>
      <c r="M643" s="368">
        <f t="shared" ref="M643:M706" si="63">L643/(VLOOKUP($C643,$W$5:$Z$13,3,FALSE)*10^6)</f>
        <v>7.966234259506752E-5</v>
      </c>
      <c r="O643" s="1">
        <v>19010</v>
      </c>
      <c r="P643" s="309">
        <v>78012</v>
      </c>
      <c r="Q643" s="309">
        <v>148300</v>
      </c>
      <c r="R643" s="368">
        <f t="shared" ref="R643:R706" si="64">Q643/(VLOOKUP($C643,$W$5:$Z$13,4,FALSE)*10^6)</f>
        <v>1.2944532360242007E-4</v>
      </c>
    </row>
    <row r="644" spans="2:18" x14ac:dyDescent="0.3">
      <c r="B644" s="54" t="s">
        <v>1571</v>
      </c>
      <c r="C644" s="54" t="s">
        <v>25</v>
      </c>
      <c r="E644" s="1">
        <v>160791</v>
      </c>
      <c r="F644" s="309">
        <v>459720</v>
      </c>
      <c r="G644" s="309">
        <v>7391881</v>
      </c>
      <c r="H644" s="368">
        <f t="shared" si="62"/>
        <v>2.0004363197217101E-2</v>
      </c>
      <c r="J644" s="1">
        <v>164600</v>
      </c>
      <c r="K644" s="309">
        <v>366061</v>
      </c>
      <c r="L644" s="309">
        <v>6025370</v>
      </c>
      <c r="M644" s="368">
        <f t="shared" si="63"/>
        <v>1.6522253579701413E-2</v>
      </c>
      <c r="O644" s="1">
        <v>165730</v>
      </c>
      <c r="P644" s="309">
        <v>420034</v>
      </c>
      <c r="Q644" s="309">
        <v>6961230</v>
      </c>
      <c r="R644" s="368">
        <f t="shared" si="64"/>
        <v>1.8823455645509315E-2</v>
      </c>
    </row>
    <row r="645" spans="2:18" x14ac:dyDescent="0.3">
      <c r="B645" s="54" t="s">
        <v>1571</v>
      </c>
      <c r="C645" s="54" t="s">
        <v>1468</v>
      </c>
      <c r="E645" s="1"/>
      <c r="F645" s="309"/>
      <c r="G645" s="309"/>
      <c r="H645" s="368">
        <f t="shared" si="62"/>
        <v>0</v>
      </c>
      <c r="J645" s="1">
        <v>0</v>
      </c>
      <c r="K645" s="309"/>
      <c r="L645" s="309">
        <v>0</v>
      </c>
      <c r="M645" s="368">
        <f t="shared" si="63"/>
        <v>0</v>
      </c>
      <c r="O645" s="1">
        <v>0</v>
      </c>
      <c r="P645" s="309"/>
      <c r="Q645" s="309">
        <v>0</v>
      </c>
      <c r="R645" s="368">
        <f t="shared" si="64"/>
        <v>0</v>
      </c>
    </row>
    <row r="646" spans="2:18" x14ac:dyDescent="0.3">
      <c r="B646" s="54" t="s">
        <v>1571</v>
      </c>
      <c r="C646" s="54" t="s">
        <v>27</v>
      </c>
      <c r="E646" s="1">
        <v>0</v>
      </c>
      <c r="F646" s="309"/>
      <c r="G646" s="309">
        <v>0</v>
      </c>
      <c r="H646" s="368">
        <f t="shared" si="62"/>
        <v>0</v>
      </c>
      <c r="J646" s="1">
        <v>540</v>
      </c>
      <c r="K646" s="309"/>
      <c r="L646" s="309"/>
      <c r="M646" s="368">
        <f t="shared" si="63"/>
        <v>0</v>
      </c>
      <c r="O646" s="1">
        <v>480</v>
      </c>
      <c r="P646" s="309"/>
      <c r="Q646" s="309"/>
      <c r="R646" s="368">
        <f t="shared" si="64"/>
        <v>0</v>
      </c>
    </row>
    <row r="647" spans="2:18" x14ac:dyDescent="0.3">
      <c r="B647" s="54" t="s">
        <v>1571</v>
      </c>
      <c r="C647" s="54" t="s">
        <v>1469</v>
      </c>
      <c r="E647" s="1">
        <v>85352</v>
      </c>
      <c r="F647" s="309">
        <v>932522</v>
      </c>
      <c r="G647" s="309">
        <v>7959266</v>
      </c>
      <c r="H647" s="368">
        <f t="shared" si="62"/>
        <v>2.5348836455314501E-2</v>
      </c>
      <c r="J647" s="1">
        <v>85200</v>
      </c>
      <c r="K647" s="309">
        <v>763651</v>
      </c>
      <c r="L647" s="309">
        <v>6506310</v>
      </c>
      <c r="M647" s="368">
        <f t="shared" si="63"/>
        <v>2.3770663585644419E-2</v>
      </c>
      <c r="O647" s="1">
        <v>79180</v>
      </c>
      <c r="P647" s="309">
        <v>839190</v>
      </c>
      <c r="Q647" s="309">
        <v>6644710</v>
      </c>
      <c r="R647" s="368">
        <f t="shared" si="64"/>
        <v>2.3859095854124327E-2</v>
      </c>
    </row>
    <row r="648" spans="2:18" x14ac:dyDescent="0.3">
      <c r="B648" s="54" t="s">
        <v>1571</v>
      </c>
      <c r="C648" s="54" t="s">
        <v>26</v>
      </c>
      <c r="E648" s="1">
        <v>115923</v>
      </c>
      <c r="F648" s="309">
        <v>90935</v>
      </c>
      <c r="G648" s="309">
        <v>1054151</v>
      </c>
      <c r="H648" s="368">
        <f t="shared" si="62"/>
        <v>1.3655374944658639E-3</v>
      </c>
      <c r="J648" s="1">
        <v>111660</v>
      </c>
      <c r="K648" s="309">
        <v>86147</v>
      </c>
      <c r="L648" s="309">
        <v>961920</v>
      </c>
      <c r="M648" s="368">
        <f t="shared" si="63"/>
        <v>1.3120648322398423E-3</v>
      </c>
      <c r="O648" s="1">
        <v>120550</v>
      </c>
      <c r="P648" s="309">
        <v>93781</v>
      </c>
      <c r="Q648" s="309">
        <v>1130530</v>
      </c>
      <c r="R648" s="368">
        <f t="shared" si="64"/>
        <v>1.4769724104420063E-3</v>
      </c>
    </row>
    <row r="649" spans="2:18" x14ac:dyDescent="0.3">
      <c r="B649" s="54" t="s">
        <v>1572</v>
      </c>
      <c r="C649" s="54" t="s">
        <v>28</v>
      </c>
      <c r="E649" s="1">
        <v>292</v>
      </c>
      <c r="F649" s="309">
        <v>27979</v>
      </c>
      <c r="G649" s="309">
        <v>817</v>
      </c>
      <c r="H649" s="368">
        <f t="shared" si="62"/>
        <v>2.8892518776300191E-6</v>
      </c>
      <c r="J649" s="1">
        <v>282</v>
      </c>
      <c r="K649" s="309">
        <v>28830</v>
      </c>
      <c r="L649" s="309">
        <v>813</v>
      </c>
      <c r="M649" s="368">
        <f t="shared" si="63"/>
        <v>2.7966972896993287E-6</v>
      </c>
      <c r="O649" s="1">
        <v>280</v>
      </c>
      <c r="P649" s="309">
        <v>29714</v>
      </c>
      <c r="Q649" s="309">
        <v>832</v>
      </c>
      <c r="R649" s="368">
        <f t="shared" si="64"/>
        <v>2.780020310788294E-6</v>
      </c>
    </row>
    <row r="650" spans="2:18" x14ac:dyDescent="0.3">
      <c r="B650" s="54" t="s">
        <v>1572</v>
      </c>
      <c r="C650" s="54" t="s">
        <v>24</v>
      </c>
      <c r="E650" s="1">
        <v>1045</v>
      </c>
      <c r="F650" s="309">
        <v>90096</v>
      </c>
      <c r="G650" s="309">
        <v>9415</v>
      </c>
      <c r="H650" s="368">
        <f t="shared" si="62"/>
        <v>8.3062940230550517E-6</v>
      </c>
      <c r="J650" s="1">
        <v>1129</v>
      </c>
      <c r="K650" s="309">
        <v>90204</v>
      </c>
      <c r="L650" s="309">
        <v>10184</v>
      </c>
      <c r="M650" s="368">
        <f t="shared" si="63"/>
        <v>9.0869320899212314E-6</v>
      </c>
      <c r="O650" s="1">
        <v>1028</v>
      </c>
      <c r="P650" s="309">
        <v>86012</v>
      </c>
      <c r="Q650" s="309">
        <v>8842</v>
      </c>
      <c r="R650" s="368">
        <f t="shared" si="64"/>
        <v>7.7178391860593276E-6</v>
      </c>
    </row>
    <row r="651" spans="2:18" x14ac:dyDescent="0.3">
      <c r="B651" s="54" t="s">
        <v>1572</v>
      </c>
      <c r="C651" s="54" t="s">
        <v>25</v>
      </c>
      <c r="E651" s="1">
        <v>206</v>
      </c>
      <c r="F651" s="309">
        <v>89369</v>
      </c>
      <c r="G651" s="309">
        <v>1841</v>
      </c>
      <c r="H651" s="368">
        <f t="shared" si="62"/>
        <v>4.9822274798629315E-6</v>
      </c>
      <c r="J651" s="1">
        <v>284</v>
      </c>
      <c r="K651" s="309">
        <v>88380</v>
      </c>
      <c r="L651" s="309">
        <v>2510</v>
      </c>
      <c r="M651" s="368">
        <f t="shared" si="63"/>
        <v>6.8827070345971363E-6</v>
      </c>
      <c r="O651" s="1">
        <v>284</v>
      </c>
      <c r="P651" s="309">
        <v>87500</v>
      </c>
      <c r="Q651" s="309">
        <v>2485</v>
      </c>
      <c r="R651" s="368">
        <f t="shared" si="64"/>
        <v>6.7195434253846877E-6</v>
      </c>
    </row>
    <row r="652" spans="2:18" x14ac:dyDescent="0.3">
      <c r="B652" s="54" t="s">
        <v>1572</v>
      </c>
      <c r="C652" s="54" t="s">
        <v>26</v>
      </c>
      <c r="E652" s="1">
        <v>14</v>
      </c>
      <c r="F652" s="309">
        <v>7143</v>
      </c>
      <c r="G652" s="309">
        <v>10</v>
      </c>
      <c r="H652" s="368">
        <f t="shared" si="62"/>
        <v>1.2953907879097623E-8</v>
      </c>
      <c r="J652" s="1">
        <v>6</v>
      </c>
      <c r="K652" s="309">
        <v>6667</v>
      </c>
      <c r="L652" s="309">
        <v>4</v>
      </c>
      <c r="M652" s="368">
        <f t="shared" si="63"/>
        <v>5.4560247514963505E-9</v>
      </c>
      <c r="O652" s="1">
        <v>153</v>
      </c>
      <c r="P652" s="309">
        <v>7124</v>
      </c>
      <c r="Q652" s="309">
        <v>109</v>
      </c>
      <c r="R652" s="368">
        <f t="shared" si="64"/>
        <v>1.4240222969596445E-7</v>
      </c>
    </row>
    <row r="653" spans="2:18" x14ac:dyDescent="0.3">
      <c r="B653" s="54" t="s">
        <v>1573</v>
      </c>
      <c r="C653" s="54" t="s">
        <v>24</v>
      </c>
      <c r="E653" s="1">
        <v>17459</v>
      </c>
      <c r="F653" s="309">
        <v>100570</v>
      </c>
      <c r="G653" s="309">
        <v>175586</v>
      </c>
      <c r="H653" s="368">
        <f t="shared" si="62"/>
        <v>1.5490907512821501E-4</v>
      </c>
      <c r="J653" s="1">
        <v>17347</v>
      </c>
      <c r="K653" s="309">
        <v>110678</v>
      </c>
      <c r="L653" s="309">
        <v>191993</v>
      </c>
      <c r="M653" s="368">
        <f t="shared" si="63"/>
        <v>1.7131061986844532E-4</v>
      </c>
      <c r="O653" s="1">
        <v>16700</v>
      </c>
      <c r="P653" s="309">
        <v>117338</v>
      </c>
      <c r="Q653" s="309">
        <v>195955</v>
      </c>
      <c r="R653" s="368">
        <f t="shared" si="64"/>
        <v>1.7104152654424964E-4</v>
      </c>
    </row>
    <row r="654" spans="2:18" x14ac:dyDescent="0.3">
      <c r="B654" s="54" t="s">
        <v>1573</v>
      </c>
      <c r="C654" s="54" t="s">
        <v>25</v>
      </c>
      <c r="E654" s="1">
        <v>9450</v>
      </c>
      <c r="F654" s="309">
        <v>492968</v>
      </c>
      <c r="G654" s="309">
        <v>465855</v>
      </c>
      <c r="H654" s="368">
        <f t="shared" si="62"/>
        <v>1.2607254658509211E-3</v>
      </c>
      <c r="J654" s="1">
        <v>9940</v>
      </c>
      <c r="K654" s="309">
        <v>495364</v>
      </c>
      <c r="L654" s="309">
        <v>492392</v>
      </c>
      <c r="M654" s="368">
        <f t="shared" si="63"/>
        <v>1.3501951721830092E-3</v>
      </c>
      <c r="O654" s="1">
        <v>10317</v>
      </c>
      <c r="P654" s="309">
        <v>497753</v>
      </c>
      <c r="Q654" s="309">
        <v>513532</v>
      </c>
      <c r="R654" s="368">
        <f t="shared" si="64"/>
        <v>1.3886119011366799E-3</v>
      </c>
    </row>
    <row r="655" spans="2:18" x14ac:dyDescent="0.3">
      <c r="B655" s="54" t="s">
        <v>1573</v>
      </c>
      <c r="C655" s="54" t="s">
        <v>1468</v>
      </c>
      <c r="E655" s="1">
        <v>0</v>
      </c>
      <c r="F655" s="309"/>
      <c r="G655" s="309">
        <v>0</v>
      </c>
      <c r="H655" s="368">
        <f t="shared" si="62"/>
        <v>0</v>
      </c>
      <c r="J655" s="1">
        <v>0</v>
      </c>
      <c r="K655" s="309"/>
      <c r="L655" s="309">
        <v>0</v>
      </c>
      <c r="M655" s="368">
        <f t="shared" si="63"/>
        <v>0</v>
      </c>
      <c r="O655" s="1">
        <v>0</v>
      </c>
      <c r="P655" s="309"/>
      <c r="Q655" s="309">
        <v>0</v>
      </c>
      <c r="R655" s="368">
        <f t="shared" si="64"/>
        <v>0</v>
      </c>
    </row>
    <row r="656" spans="2:18" x14ac:dyDescent="0.3">
      <c r="B656" s="54" t="s">
        <v>1573</v>
      </c>
      <c r="C656" s="54" t="s">
        <v>27</v>
      </c>
      <c r="E656" s="1">
        <v>0</v>
      </c>
      <c r="F656" s="309"/>
      <c r="G656" s="309">
        <v>0</v>
      </c>
      <c r="H656" s="368">
        <f t="shared" si="62"/>
        <v>0</v>
      </c>
      <c r="J656" s="1">
        <v>0</v>
      </c>
      <c r="K656" s="309"/>
      <c r="L656" s="309">
        <v>0</v>
      </c>
      <c r="M656" s="368">
        <f t="shared" si="63"/>
        <v>0</v>
      </c>
      <c r="O656" s="1">
        <v>0</v>
      </c>
      <c r="P656" s="309"/>
      <c r="Q656" s="309">
        <v>0</v>
      </c>
      <c r="R656" s="368">
        <f t="shared" si="64"/>
        <v>0</v>
      </c>
    </row>
    <row r="657" spans="2:18" x14ac:dyDescent="0.3">
      <c r="B657" s="54" t="s">
        <v>1573</v>
      </c>
      <c r="C657" s="54" t="s">
        <v>26</v>
      </c>
      <c r="E657" s="1">
        <v>41075</v>
      </c>
      <c r="F657" s="309">
        <v>98644</v>
      </c>
      <c r="G657" s="309">
        <v>405182</v>
      </c>
      <c r="H657" s="368">
        <f t="shared" si="62"/>
        <v>5.2486903022685332E-4</v>
      </c>
      <c r="J657" s="1">
        <v>41411</v>
      </c>
      <c r="K657" s="309">
        <v>89596</v>
      </c>
      <c r="L657" s="309">
        <v>371027</v>
      </c>
      <c r="M657" s="368">
        <f t="shared" si="63"/>
        <v>5.0608312386835909E-4</v>
      </c>
      <c r="O657" s="1">
        <v>45000</v>
      </c>
      <c r="P657" s="309">
        <v>88465</v>
      </c>
      <c r="Q657" s="309">
        <v>398092</v>
      </c>
      <c r="R657" s="368">
        <f t="shared" si="64"/>
        <v>5.2008429746904482E-4</v>
      </c>
    </row>
    <row r="658" spans="2:18" x14ac:dyDescent="0.3">
      <c r="B658" s="54" t="s">
        <v>1574</v>
      </c>
      <c r="C658" s="54" t="s">
        <v>28</v>
      </c>
      <c r="E658" s="1">
        <v>26195</v>
      </c>
      <c r="F658" s="309">
        <v>76828</v>
      </c>
      <c r="G658" s="309">
        <v>201251</v>
      </c>
      <c r="H658" s="368">
        <f t="shared" si="62"/>
        <v>7.1170725780283844E-4</v>
      </c>
      <c r="J658" s="1">
        <v>23100</v>
      </c>
      <c r="K658" s="309">
        <v>90720</v>
      </c>
      <c r="L658" s="309">
        <v>209563</v>
      </c>
      <c r="M658" s="368">
        <f t="shared" si="63"/>
        <v>7.208908660778111E-4</v>
      </c>
      <c r="O658" s="1">
        <v>26430</v>
      </c>
      <c r="P658" s="309">
        <v>83536</v>
      </c>
      <c r="Q658" s="309">
        <v>220786</v>
      </c>
      <c r="R658" s="368">
        <f t="shared" si="64"/>
        <v>7.3772784175204847E-4</v>
      </c>
    </row>
    <row r="659" spans="2:18" x14ac:dyDescent="0.3">
      <c r="B659" s="54" t="s">
        <v>1574</v>
      </c>
      <c r="C659" s="54" t="s">
        <v>24</v>
      </c>
      <c r="E659" s="1">
        <v>319200</v>
      </c>
      <c r="F659" s="309">
        <v>12795</v>
      </c>
      <c r="G659" s="309">
        <v>408415</v>
      </c>
      <c r="H659" s="368">
        <f t="shared" si="62"/>
        <v>3.6032024146851079E-4</v>
      </c>
      <c r="J659" s="1">
        <v>282380</v>
      </c>
      <c r="K659" s="309">
        <v>13996</v>
      </c>
      <c r="L659" s="309">
        <v>395226</v>
      </c>
      <c r="M659" s="368">
        <f t="shared" si="63"/>
        <v>3.5265041458868899E-4</v>
      </c>
      <c r="O659" s="1">
        <v>303547</v>
      </c>
      <c r="P659" s="309">
        <v>13182</v>
      </c>
      <c r="Q659" s="309">
        <v>400146</v>
      </c>
      <c r="R659" s="368">
        <f t="shared" si="64"/>
        <v>3.492719383561293E-4</v>
      </c>
    </row>
    <row r="660" spans="2:18" x14ac:dyDescent="0.3">
      <c r="B660" s="54" t="s">
        <v>1574</v>
      </c>
      <c r="C660" s="54" t="s">
        <v>1472</v>
      </c>
      <c r="E660" s="1">
        <v>7430</v>
      </c>
      <c r="F660" s="309">
        <v>100000</v>
      </c>
      <c r="G660" s="309">
        <v>74300</v>
      </c>
      <c r="H660" s="368">
        <f t="shared" si="62"/>
        <v>1.8561302640313323E-4</v>
      </c>
      <c r="J660" s="1">
        <v>7264</v>
      </c>
      <c r="K660" s="309">
        <v>110132</v>
      </c>
      <c r="L660" s="309">
        <v>80000</v>
      </c>
      <c r="M660" s="368">
        <f t="shared" si="63"/>
        <v>1.9822424575699268E-4</v>
      </c>
      <c r="O660" s="1">
        <v>8246</v>
      </c>
      <c r="P660" s="309">
        <v>104556</v>
      </c>
      <c r="Q660" s="309">
        <v>86217</v>
      </c>
      <c r="R660" s="368">
        <f t="shared" si="64"/>
        <v>2.0992864485989092E-4</v>
      </c>
    </row>
    <row r="661" spans="2:18" x14ac:dyDescent="0.3">
      <c r="B661" s="54" t="s">
        <v>1574</v>
      </c>
      <c r="C661" s="54" t="s">
        <v>25</v>
      </c>
      <c r="E661" s="1">
        <v>3404</v>
      </c>
      <c r="F661" s="309">
        <v>175379</v>
      </c>
      <c r="G661" s="309">
        <v>59699</v>
      </c>
      <c r="H661" s="368">
        <f t="shared" si="62"/>
        <v>1.6156110718106308E-4</v>
      </c>
      <c r="J661" s="1">
        <v>3430</v>
      </c>
      <c r="K661" s="309">
        <v>192907</v>
      </c>
      <c r="L661" s="309">
        <v>66167</v>
      </c>
      <c r="M661" s="368">
        <f t="shared" si="63"/>
        <v>1.814374806207923E-4</v>
      </c>
      <c r="O661" s="1">
        <v>3783</v>
      </c>
      <c r="P661" s="309">
        <v>194594</v>
      </c>
      <c r="Q661" s="309">
        <v>73615</v>
      </c>
      <c r="R661" s="368">
        <f t="shared" si="64"/>
        <v>1.9905802384695927E-4</v>
      </c>
    </row>
    <row r="662" spans="2:18" x14ac:dyDescent="0.3">
      <c r="B662" s="54" t="s">
        <v>1574</v>
      </c>
      <c r="C662" s="54" t="s">
        <v>1468</v>
      </c>
      <c r="E662" s="1">
        <v>67899</v>
      </c>
      <c r="F662" s="309">
        <v>62241</v>
      </c>
      <c r="G662" s="309">
        <v>422612</v>
      </c>
      <c r="H662" s="368">
        <f t="shared" si="62"/>
        <v>5.9612840518843133E-4</v>
      </c>
      <c r="J662" s="1">
        <v>69300</v>
      </c>
      <c r="K662" s="309">
        <v>52670</v>
      </c>
      <c r="L662" s="309">
        <v>365000</v>
      </c>
      <c r="M662" s="368">
        <f t="shared" si="63"/>
        <v>5.0782748096503644E-4</v>
      </c>
      <c r="O662" s="1">
        <v>73890</v>
      </c>
      <c r="P662" s="309">
        <v>63353</v>
      </c>
      <c r="Q662" s="309">
        <v>468115</v>
      </c>
      <c r="R662" s="368">
        <f t="shared" si="64"/>
        <v>6.57470287761577E-4</v>
      </c>
    </row>
    <row r="663" spans="2:18" x14ac:dyDescent="0.3">
      <c r="B663" s="54" t="s">
        <v>1574</v>
      </c>
      <c r="C663" s="54" t="s">
        <v>27</v>
      </c>
      <c r="E663" s="1">
        <v>3302</v>
      </c>
      <c r="F663" s="309">
        <v>17241</v>
      </c>
      <c r="G663" s="309">
        <v>5693</v>
      </c>
      <c r="H663" s="368">
        <f t="shared" si="62"/>
        <v>1.5856056353020309E-5</v>
      </c>
      <c r="J663" s="1">
        <v>4000</v>
      </c>
      <c r="K663" s="309">
        <v>25000</v>
      </c>
      <c r="L663" s="309">
        <v>10000</v>
      </c>
      <c r="M663" s="368">
        <f t="shared" si="63"/>
        <v>2.9053851421108273E-5</v>
      </c>
      <c r="O663" s="1">
        <v>4000</v>
      </c>
      <c r="P663" s="309">
        <v>25000</v>
      </c>
      <c r="Q663" s="309">
        <v>10000</v>
      </c>
      <c r="R663" s="368">
        <f t="shared" si="64"/>
        <v>3.0005313761035198E-5</v>
      </c>
    </row>
    <row r="664" spans="2:18" x14ac:dyDescent="0.3">
      <c r="B664" s="54" t="s">
        <v>1574</v>
      </c>
      <c r="C664" s="54" t="s">
        <v>1469</v>
      </c>
      <c r="E664" s="1">
        <v>0</v>
      </c>
      <c r="F664" s="309"/>
      <c r="G664" s="309">
        <v>0</v>
      </c>
      <c r="H664" s="368">
        <f t="shared" si="62"/>
        <v>0</v>
      </c>
      <c r="J664" s="1">
        <v>0</v>
      </c>
      <c r="K664" s="309"/>
      <c r="L664" s="309">
        <v>0</v>
      </c>
      <c r="M664" s="368">
        <f t="shared" si="63"/>
        <v>0</v>
      </c>
      <c r="O664" s="1">
        <v>0</v>
      </c>
      <c r="P664" s="309"/>
      <c r="Q664" s="309">
        <v>0</v>
      </c>
      <c r="R664" s="368">
        <f t="shared" si="64"/>
        <v>0</v>
      </c>
    </row>
    <row r="665" spans="2:18" x14ac:dyDescent="0.3">
      <c r="B665" s="54" t="s">
        <v>1574</v>
      </c>
      <c r="C665" s="54" t="s">
        <v>1470</v>
      </c>
      <c r="E665" s="1">
        <v>73903</v>
      </c>
      <c r="F665" s="309">
        <v>960228</v>
      </c>
      <c r="G665" s="309">
        <v>7096373</v>
      </c>
      <c r="H665" s="368">
        <f t="shared" si="62"/>
        <v>3.9219993857695836E-3</v>
      </c>
      <c r="J665" s="1">
        <v>77210</v>
      </c>
      <c r="K665" s="309">
        <v>935678</v>
      </c>
      <c r="L665" s="309">
        <v>7224366</v>
      </c>
      <c r="M665" s="368">
        <f t="shared" si="63"/>
        <v>3.7936149032252679E-3</v>
      </c>
      <c r="O665" s="1">
        <v>77134</v>
      </c>
      <c r="P665" s="309">
        <v>955715</v>
      </c>
      <c r="Q665" s="309">
        <v>7371811</v>
      </c>
      <c r="R665" s="368">
        <f t="shared" si="64"/>
        <v>3.8285494220832539E-3</v>
      </c>
    </row>
    <row r="666" spans="2:18" x14ac:dyDescent="0.3">
      <c r="B666" s="54" t="s">
        <v>1575</v>
      </c>
      <c r="C666" s="54" t="s">
        <v>28</v>
      </c>
      <c r="E666" s="1">
        <v>13855</v>
      </c>
      <c r="F666" s="309">
        <v>230713</v>
      </c>
      <c r="G666" s="309">
        <v>319653</v>
      </c>
      <c r="H666" s="368">
        <f t="shared" si="62"/>
        <v>1.1304259858507572E-3</v>
      </c>
      <c r="J666" s="1">
        <v>15875</v>
      </c>
      <c r="K666" s="309">
        <v>234588</v>
      </c>
      <c r="L666" s="309">
        <v>372408</v>
      </c>
      <c r="M666" s="368">
        <f t="shared" si="63"/>
        <v>1.2810731171738594E-3</v>
      </c>
      <c r="O666" s="1">
        <v>18121</v>
      </c>
      <c r="P666" s="309">
        <v>283467</v>
      </c>
      <c r="Q666" s="309">
        <v>513671</v>
      </c>
      <c r="R666" s="368">
        <f t="shared" si="64"/>
        <v>1.7163651599314109E-3</v>
      </c>
    </row>
    <row r="667" spans="2:18" x14ac:dyDescent="0.3">
      <c r="B667" s="54" t="s">
        <v>1575</v>
      </c>
      <c r="C667" s="54" t="s">
        <v>24</v>
      </c>
      <c r="E667" s="1">
        <v>26895</v>
      </c>
      <c r="F667" s="309">
        <v>14257</v>
      </c>
      <c r="G667" s="309">
        <v>38345</v>
      </c>
      <c r="H667" s="368">
        <f t="shared" si="62"/>
        <v>3.3829510814025062E-5</v>
      </c>
      <c r="J667" s="1">
        <v>20185</v>
      </c>
      <c r="K667" s="309">
        <v>14633</v>
      </c>
      <c r="L667" s="309">
        <v>29536</v>
      </c>
      <c r="M667" s="368">
        <f t="shared" si="63"/>
        <v>2.6354244521594022E-5</v>
      </c>
      <c r="O667" s="1">
        <v>24297</v>
      </c>
      <c r="P667" s="309">
        <v>15599</v>
      </c>
      <c r="Q667" s="309">
        <v>37900</v>
      </c>
      <c r="R667" s="368">
        <f t="shared" si="64"/>
        <v>3.3081441433120164E-5</v>
      </c>
    </row>
    <row r="668" spans="2:18" x14ac:dyDescent="0.3">
      <c r="B668" s="54" t="s">
        <v>1575</v>
      </c>
      <c r="C668" s="54" t="s">
        <v>25</v>
      </c>
      <c r="E668" s="1">
        <v>5650</v>
      </c>
      <c r="F668" s="309">
        <v>293350</v>
      </c>
      <c r="G668" s="309">
        <v>165743</v>
      </c>
      <c r="H668" s="368">
        <f t="shared" si="62"/>
        <v>4.4854390504884401E-4</v>
      </c>
      <c r="J668" s="1">
        <v>5672</v>
      </c>
      <c r="K668" s="309">
        <v>297195</v>
      </c>
      <c r="L668" s="309">
        <v>168569</v>
      </c>
      <c r="M668" s="368">
        <f t="shared" si="63"/>
        <v>4.6223547494621698E-4</v>
      </c>
      <c r="O668" s="1">
        <v>6596</v>
      </c>
      <c r="P668" s="309">
        <v>300776</v>
      </c>
      <c r="Q668" s="309">
        <v>198392</v>
      </c>
      <c r="R668" s="368">
        <f t="shared" si="64"/>
        <v>5.3646022504986676E-4</v>
      </c>
    </row>
    <row r="669" spans="2:18" x14ac:dyDescent="0.3">
      <c r="B669" s="54" t="s">
        <v>1575</v>
      </c>
      <c r="C669" s="54" t="s">
        <v>1468</v>
      </c>
      <c r="E669" s="1">
        <v>23803</v>
      </c>
      <c r="F669" s="309">
        <v>47318</v>
      </c>
      <c r="G669" s="309">
        <v>112632</v>
      </c>
      <c r="H669" s="368">
        <f t="shared" si="62"/>
        <v>1.5887654523104736E-4</v>
      </c>
      <c r="J669" s="1">
        <v>29958</v>
      </c>
      <c r="K669" s="309">
        <v>33916</v>
      </c>
      <c r="L669" s="309">
        <v>101607</v>
      </c>
      <c r="M669" s="368">
        <f t="shared" si="63"/>
        <v>1.413666489271629E-4</v>
      </c>
      <c r="O669" s="1">
        <v>26739</v>
      </c>
      <c r="P669" s="309">
        <v>45536</v>
      </c>
      <c r="Q669" s="309">
        <v>121760</v>
      </c>
      <c r="R669" s="368">
        <f t="shared" si="64"/>
        <v>1.7101264056449723E-4</v>
      </c>
    </row>
    <row r="670" spans="2:18" x14ac:dyDescent="0.3">
      <c r="B670" s="54" t="s">
        <v>1575</v>
      </c>
      <c r="C670" s="54" t="s">
        <v>1470</v>
      </c>
      <c r="E670" s="1">
        <v>6474</v>
      </c>
      <c r="F670" s="309">
        <v>390568</v>
      </c>
      <c r="G670" s="309">
        <v>252854</v>
      </c>
      <c r="H670" s="368">
        <f t="shared" si="62"/>
        <v>1.3974649200223583E-4</v>
      </c>
      <c r="J670" s="1">
        <v>6777</v>
      </c>
      <c r="K670" s="309">
        <v>380834</v>
      </c>
      <c r="L670" s="309">
        <v>258091</v>
      </c>
      <c r="M670" s="368">
        <f t="shared" si="63"/>
        <v>1.3552716791872293E-4</v>
      </c>
      <c r="O670" s="1">
        <v>8099</v>
      </c>
      <c r="P670" s="309">
        <v>395927</v>
      </c>
      <c r="Q670" s="309">
        <v>320661</v>
      </c>
      <c r="R670" s="368">
        <f t="shared" si="64"/>
        <v>1.6653526334772261E-4</v>
      </c>
    </row>
    <row r="671" spans="2:18" x14ac:dyDescent="0.3">
      <c r="B671" s="54" t="s">
        <v>1575</v>
      </c>
      <c r="C671" s="54" t="s">
        <v>26</v>
      </c>
      <c r="E671" s="1">
        <v>2180</v>
      </c>
      <c r="F671" s="309">
        <v>27537</v>
      </c>
      <c r="G671" s="309">
        <v>6003</v>
      </c>
      <c r="H671" s="368">
        <f t="shared" si="62"/>
        <v>7.7762308998223027E-6</v>
      </c>
      <c r="J671" s="1">
        <v>1623</v>
      </c>
      <c r="K671" s="309">
        <v>29618</v>
      </c>
      <c r="L671" s="309">
        <v>4807</v>
      </c>
      <c r="M671" s="368">
        <f t="shared" si="63"/>
        <v>6.5567777451107391E-6</v>
      </c>
      <c r="O671" s="1">
        <v>1734</v>
      </c>
      <c r="P671" s="309">
        <v>28374</v>
      </c>
      <c r="Q671" s="309">
        <v>4920</v>
      </c>
      <c r="R671" s="368">
        <f t="shared" si="64"/>
        <v>6.4276969734325241E-6</v>
      </c>
    </row>
    <row r="672" spans="2:18" x14ac:dyDescent="0.3">
      <c r="B672" s="54" t="s">
        <v>1576</v>
      </c>
      <c r="C672" s="54" t="s">
        <v>28</v>
      </c>
      <c r="E672" s="1">
        <v>6319718</v>
      </c>
      <c r="F672" s="309">
        <v>87138</v>
      </c>
      <c r="G672" s="309">
        <v>55068732</v>
      </c>
      <c r="H672" s="368">
        <f t="shared" si="62"/>
        <v>0.1947459453239955</v>
      </c>
      <c r="J672" s="1">
        <v>6667820</v>
      </c>
      <c r="K672" s="309">
        <v>83679</v>
      </c>
      <c r="L672" s="309">
        <v>55795814</v>
      </c>
      <c r="M672" s="368">
        <f t="shared" si="63"/>
        <v>0.1919360415625681</v>
      </c>
      <c r="O672" s="1">
        <v>7215162</v>
      </c>
      <c r="P672" s="309">
        <v>82041</v>
      </c>
      <c r="Q672" s="309">
        <v>59193708</v>
      </c>
      <c r="R672" s="368">
        <f t="shared" si="64"/>
        <v>0.1977881135947975</v>
      </c>
    </row>
    <row r="673" spans="2:18" x14ac:dyDescent="0.3">
      <c r="B673" s="54" t="s">
        <v>1576</v>
      </c>
      <c r="C673" s="54" t="s">
        <v>24</v>
      </c>
      <c r="E673" s="1">
        <v>6540000</v>
      </c>
      <c r="F673" s="309">
        <v>15933</v>
      </c>
      <c r="G673" s="309">
        <v>10420000</v>
      </c>
      <c r="H673" s="368">
        <f t="shared" si="62"/>
        <v>9.1929456951921028E-3</v>
      </c>
      <c r="J673" s="1">
        <v>6816126</v>
      </c>
      <c r="K673" s="309">
        <v>16138</v>
      </c>
      <c r="L673" s="309">
        <v>11000000</v>
      </c>
      <c r="M673" s="368">
        <f t="shared" si="63"/>
        <v>9.8150287695535701E-3</v>
      </c>
      <c r="O673" s="1">
        <v>6857528</v>
      </c>
      <c r="P673" s="309">
        <v>16041</v>
      </c>
      <c r="Q673" s="309">
        <v>11000000</v>
      </c>
      <c r="R673" s="368">
        <f t="shared" si="64"/>
        <v>9.6014737668686494E-3</v>
      </c>
    </row>
    <row r="674" spans="2:18" x14ac:dyDescent="0.3">
      <c r="B674" s="54" t="s">
        <v>1576</v>
      </c>
      <c r="C674" s="54" t="s">
        <v>1472</v>
      </c>
      <c r="E674" s="1">
        <v>3557823</v>
      </c>
      <c r="F674" s="309">
        <v>25577</v>
      </c>
      <c r="G674" s="309">
        <v>9100000</v>
      </c>
      <c r="H674" s="368">
        <f t="shared" si="62"/>
        <v>2.2733223960545255E-2</v>
      </c>
      <c r="J674" s="1">
        <v>3760666</v>
      </c>
      <c r="K674" s="309">
        <v>25527</v>
      </c>
      <c r="L674" s="309">
        <v>9600000</v>
      </c>
      <c r="M674" s="368">
        <f t="shared" si="63"/>
        <v>2.3786909490839121E-2</v>
      </c>
      <c r="O674" s="1">
        <v>3934935</v>
      </c>
      <c r="P674" s="309">
        <v>25477</v>
      </c>
      <c r="Q674" s="309">
        <v>10025174</v>
      </c>
      <c r="R674" s="368">
        <f t="shared" si="64"/>
        <v>2.4410164959400259E-2</v>
      </c>
    </row>
    <row r="675" spans="2:18" x14ac:dyDescent="0.3">
      <c r="B675" s="54" t="s">
        <v>1576</v>
      </c>
      <c r="C675" s="54" t="s">
        <v>25</v>
      </c>
      <c r="E675" s="1">
        <v>321020</v>
      </c>
      <c r="F675" s="309">
        <v>40955</v>
      </c>
      <c r="G675" s="309">
        <v>1314753</v>
      </c>
      <c r="H675" s="368">
        <f t="shared" si="62"/>
        <v>3.5580654675894776E-3</v>
      </c>
      <c r="J675" s="1">
        <v>325112</v>
      </c>
      <c r="K675" s="309">
        <v>41703</v>
      </c>
      <c r="L675" s="309">
        <v>1355823</v>
      </c>
      <c r="M675" s="368">
        <f t="shared" si="63"/>
        <v>3.7178217130552165E-3</v>
      </c>
      <c r="O675" s="1">
        <v>329061</v>
      </c>
      <c r="P675" s="309">
        <v>42451</v>
      </c>
      <c r="Q675" s="309">
        <v>1396892</v>
      </c>
      <c r="R675" s="368">
        <f t="shared" si="64"/>
        <v>3.7772541064677936E-3</v>
      </c>
    </row>
    <row r="676" spans="2:18" x14ac:dyDescent="0.3">
      <c r="B676" s="54" t="s">
        <v>1576</v>
      </c>
      <c r="C676" s="54" t="s">
        <v>1468</v>
      </c>
      <c r="E676" s="1">
        <v>5627700</v>
      </c>
      <c r="F676" s="309">
        <v>13906</v>
      </c>
      <c r="G676" s="309">
        <v>7826120</v>
      </c>
      <c r="H676" s="368">
        <f t="shared" si="62"/>
        <v>1.1039375205657401E-2</v>
      </c>
      <c r="J676" s="1">
        <v>5873615</v>
      </c>
      <c r="K676" s="309">
        <v>14306</v>
      </c>
      <c r="L676" s="309">
        <v>8403000</v>
      </c>
      <c r="M676" s="368">
        <f t="shared" si="63"/>
        <v>1.1691162527532058E-2</v>
      </c>
      <c r="O676" s="1">
        <v>5281286</v>
      </c>
      <c r="P676" s="309">
        <v>15971</v>
      </c>
      <c r="Q676" s="309">
        <v>8435000</v>
      </c>
      <c r="R676" s="368">
        <f t="shared" si="64"/>
        <v>1.1847007417555306E-2</v>
      </c>
    </row>
    <row r="677" spans="2:18" x14ac:dyDescent="0.3">
      <c r="B677" s="54" t="s">
        <v>1576</v>
      </c>
      <c r="C677" s="54" t="s">
        <v>27</v>
      </c>
      <c r="E677" s="1">
        <v>1119660</v>
      </c>
      <c r="F677" s="309">
        <v>8877</v>
      </c>
      <c r="G677" s="309">
        <v>993955</v>
      </c>
      <c r="H677" s="368">
        <f t="shared" si="62"/>
        <v>2.7683482333332688E-3</v>
      </c>
      <c r="J677" s="1">
        <v>696376</v>
      </c>
      <c r="K677" s="309">
        <v>9334</v>
      </c>
      <c r="L677" s="309">
        <v>650000</v>
      </c>
      <c r="M677" s="368">
        <f t="shared" si="63"/>
        <v>1.8885003423720378E-3</v>
      </c>
      <c r="O677" s="1">
        <v>656304</v>
      </c>
      <c r="P677" s="309">
        <v>9599</v>
      </c>
      <c r="Q677" s="309">
        <v>630000</v>
      </c>
      <c r="R677" s="368">
        <f t="shared" si="64"/>
        <v>1.8903347669452174E-3</v>
      </c>
    </row>
    <row r="678" spans="2:18" x14ac:dyDescent="0.3">
      <c r="B678" s="54" t="s">
        <v>1576</v>
      </c>
      <c r="C678" s="54" t="s">
        <v>1470</v>
      </c>
      <c r="E678" s="1">
        <v>87627</v>
      </c>
      <c r="F678" s="309">
        <v>170369</v>
      </c>
      <c r="G678" s="309">
        <v>1492892</v>
      </c>
      <c r="H678" s="368">
        <f t="shared" si="62"/>
        <v>8.2508649235607046E-4</v>
      </c>
      <c r="J678" s="1">
        <v>85058</v>
      </c>
      <c r="K678" s="309">
        <v>168549</v>
      </c>
      <c r="L678" s="309">
        <v>1433642</v>
      </c>
      <c r="M678" s="368">
        <f t="shared" si="63"/>
        <v>7.5282532157004223E-4</v>
      </c>
      <c r="O678" s="1">
        <v>87330</v>
      </c>
      <c r="P678" s="309">
        <v>166728</v>
      </c>
      <c r="Q678" s="309">
        <v>1456039</v>
      </c>
      <c r="R678" s="368">
        <f t="shared" si="64"/>
        <v>7.5619373203961399E-4</v>
      </c>
    </row>
    <row r="679" spans="2:18" x14ac:dyDescent="0.3">
      <c r="B679" s="54" t="s">
        <v>1576</v>
      </c>
      <c r="C679" s="54" t="s">
        <v>26</v>
      </c>
      <c r="E679" s="1">
        <v>67797</v>
      </c>
      <c r="F679" s="309">
        <v>9882</v>
      </c>
      <c r="G679" s="309">
        <v>67000</v>
      </c>
      <c r="H679" s="368">
        <f t="shared" si="62"/>
        <v>8.6791182789954074E-5</v>
      </c>
      <c r="J679" s="1">
        <v>56190</v>
      </c>
      <c r="K679" s="309">
        <v>10678</v>
      </c>
      <c r="L679" s="309">
        <v>60000</v>
      </c>
      <c r="M679" s="368">
        <f t="shared" si="63"/>
        <v>8.1840371272445258E-5</v>
      </c>
      <c r="O679" s="1">
        <v>56080</v>
      </c>
      <c r="P679" s="309">
        <v>10699</v>
      </c>
      <c r="Q679" s="309">
        <v>60000</v>
      </c>
      <c r="R679" s="368">
        <f t="shared" si="64"/>
        <v>7.8386548456494201E-5</v>
      </c>
    </row>
    <row r="680" spans="2:18" x14ac:dyDescent="0.3">
      <c r="B680" s="54" t="s">
        <v>1577</v>
      </c>
      <c r="C680" s="54" t="s">
        <v>28</v>
      </c>
      <c r="E680" s="1">
        <v>7</v>
      </c>
      <c r="F680" s="309">
        <v>61429</v>
      </c>
      <c r="G680" s="309">
        <v>43</v>
      </c>
      <c r="H680" s="368">
        <f t="shared" si="62"/>
        <v>1.5206588829631682E-7</v>
      </c>
      <c r="J680" s="1">
        <v>7</v>
      </c>
      <c r="K680" s="309">
        <v>61429</v>
      </c>
      <c r="L680" s="309">
        <v>43</v>
      </c>
      <c r="M680" s="368">
        <f t="shared" si="63"/>
        <v>1.479187988401859E-7</v>
      </c>
      <c r="O680" s="1">
        <v>7</v>
      </c>
      <c r="P680" s="309">
        <v>62857</v>
      </c>
      <c r="Q680" s="309">
        <v>44</v>
      </c>
      <c r="R680" s="368">
        <f t="shared" si="64"/>
        <v>1.4702030489745787E-7</v>
      </c>
    </row>
    <row r="681" spans="2:18" x14ac:dyDescent="0.3">
      <c r="B681" s="54" t="s">
        <v>1578</v>
      </c>
      <c r="C681" s="54" t="s">
        <v>24</v>
      </c>
      <c r="E681" s="1">
        <v>32004</v>
      </c>
      <c r="F681" s="309">
        <v>38437</v>
      </c>
      <c r="G681" s="309">
        <v>123014</v>
      </c>
      <c r="H681" s="368">
        <f t="shared" si="62"/>
        <v>1.0852792915051452E-4</v>
      </c>
      <c r="J681" s="1">
        <v>37065</v>
      </c>
      <c r="K681" s="309">
        <v>51456</v>
      </c>
      <c r="L681" s="309">
        <v>190722</v>
      </c>
      <c r="M681" s="368">
        <f t="shared" si="63"/>
        <v>1.7017653790789053E-4</v>
      </c>
      <c r="O681" s="1">
        <v>34672</v>
      </c>
      <c r="P681" s="309">
        <v>42702</v>
      </c>
      <c r="Q681" s="309">
        <v>148058</v>
      </c>
      <c r="R681" s="368">
        <f t="shared" si="64"/>
        <v>1.2923409117954895E-4</v>
      </c>
    </row>
    <row r="682" spans="2:18" x14ac:dyDescent="0.3">
      <c r="B682" s="54" t="s">
        <v>1578</v>
      </c>
      <c r="C682" s="54" t="s">
        <v>25</v>
      </c>
      <c r="E682" s="1">
        <v>13436</v>
      </c>
      <c r="F682" s="309">
        <v>133188</v>
      </c>
      <c r="G682" s="309">
        <v>178951</v>
      </c>
      <c r="H682" s="368">
        <f t="shared" si="62"/>
        <v>4.8428820735956076E-4</v>
      </c>
      <c r="J682" s="1">
        <v>12691</v>
      </c>
      <c r="K682" s="309">
        <v>143354</v>
      </c>
      <c r="L682" s="309">
        <v>181931</v>
      </c>
      <c r="M682" s="368">
        <f t="shared" si="63"/>
        <v>4.9887560697661022E-4</v>
      </c>
      <c r="O682" s="1">
        <v>13269</v>
      </c>
      <c r="P682" s="309">
        <v>143588</v>
      </c>
      <c r="Q682" s="309">
        <v>190527</v>
      </c>
      <c r="R682" s="368">
        <f t="shared" si="64"/>
        <v>5.1519293770956476E-4</v>
      </c>
    </row>
    <row r="683" spans="2:18" x14ac:dyDescent="0.3">
      <c r="B683" s="54" t="s">
        <v>1578</v>
      </c>
      <c r="C683" s="54" t="s">
        <v>1468</v>
      </c>
      <c r="E683" s="1">
        <v>3274</v>
      </c>
      <c r="F683" s="309">
        <v>52169</v>
      </c>
      <c r="G683" s="309">
        <v>17080</v>
      </c>
      <c r="H683" s="368">
        <f t="shared" si="62"/>
        <v>2.4092721362901212E-5</v>
      </c>
      <c r="J683" s="1">
        <v>3222</v>
      </c>
      <c r="K683" s="309">
        <v>61241</v>
      </c>
      <c r="L683" s="309">
        <v>19732</v>
      </c>
      <c r="M683" s="368">
        <f t="shared" si="63"/>
        <v>2.7453292751786574E-5</v>
      </c>
      <c r="O683" s="1">
        <v>3481</v>
      </c>
      <c r="P683" s="309">
        <v>61126</v>
      </c>
      <c r="Q683" s="309">
        <v>21278</v>
      </c>
      <c r="R683" s="368">
        <f t="shared" si="64"/>
        <v>2.9885076921249768E-5</v>
      </c>
    </row>
    <row r="684" spans="2:18" x14ac:dyDescent="0.3">
      <c r="B684" s="54" t="s">
        <v>1578</v>
      </c>
      <c r="C684" s="54" t="s">
        <v>27</v>
      </c>
      <c r="E684" s="1">
        <v>27</v>
      </c>
      <c r="F684" s="309">
        <v>12593</v>
      </c>
      <c r="G684" s="309">
        <v>34</v>
      </c>
      <c r="H684" s="368">
        <f t="shared" si="62"/>
        <v>9.4696278939520547E-8</v>
      </c>
      <c r="J684" s="1">
        <v>82</v>
      </c>
      <c r="K684" s="309">
        <v>16341</v>
      </c>
      <c r="L684" s="309">
        <v>134</v>
      </c>
      <c r="M684" s="368">
        <f t="shared" si="63"/>
        <v>3.8932160904285088E-7</v>
      </c>
      <c r="O684" s="1">
        <v>145</v>
      </c>
      <c r="P684" s="309">
        <v>17172</v>
      </c>
      <c r="Q684" s="309">
        <v>249</v>
      </c>
      <c r="R684" s="368">
        <f t="shared" si="64"/>
        <v>7.4713231264977635E-7</v>
      </c>
    </row>
    <row r="685" spans="2:18" x14ac:dyDescent="0.3">
      <c r="B685" s="54" t="s">
        <v>1578</v>
      </c>
      <c r="C685" s="54" t="s">
        <v>1469</v>
      </c>
      <c r="E685" s="1">
        <v>97</v>
      </c>
      <c r="F685" s="309">
        <v>297320</v>
      </c>
      <c r="G685" s="309">
        <v>2884</v>
      </c>
      <c r="H685" s="368">
        <f t="shared" si="62"/>
        <v>9.1850233849612539E-6</v>
      </c>
      <c r="J685" s="1">
        <v>97</v>
      </c>
      <c r="K685" s="309">
        <v>297320</v>
      </c>
      <c r="L685" s="309">
        <v>2884</v>
      </c>
      <c r="M685" s="368">
        <f t="shared" si="63"/>
        <v>1.0536631943605286E-5</v>
      </c>
      <c r="O685" s="1">
        <v>97</v>
      </c>
      <c r="P685" s="309">
        <v>297320</v>
      </c>
      <c r="Q685" s="309">
        <v>2884</v>
      </c>
      <c r="R685" s="368">
        <f t="shared" si="64"/>
        <v>1.0355550873295383E-5</v>
      </c>
    </row>
    <row r="686" spans="2:18" x14ac:dyDescent="0.3">
      <c r="B686" s="54" t="s">
        <v>1578</v>
      </c>
      <c r="C686" s="54" t="s">
        <v>26</v>
      </c>
      <c r="E686" s="1">
        <v>72864</v>
      </c>
      <c r="F686" s="309">
        <v>27464</v>
      </c>
      <c r="G686" s="309">
        <v>200112</v>
      </c>
      <c r="H686" s="368">
        <f t="shared" si="62"/>
        <v>2.5922324135019834E-4</v>
      </c>
      <c r="J686" s="1">
        <v>70987</v>
      </c>
      <c r="K686" s="309">
        <v>33965</v>
      </c>
      <c r="L686" s="309">
        <v>241106</v>
      </c>
      <c r="M686" s="368">
        <f t="shared" si="63"/>
        <v>3.2887007593356975E-4</v>
      </c>
      <c r="O686" s="1">
        <v>68847</v>
      </c>
      <c r="P686" s="309">
        <v>34848</v>
      </c>
      <c r="Q686" s="309">
        <v>239916</v>
      </c>
      <c r="R686" s="368">
        <f t="shared" si="64"/>
        <v>3.134364526581377E-4</v>
      </c>
    </row>
    <row r="687" spans="2:18" x14ac:dyDescent="0.3">
      <c r="B687" s="54" t="s">
        <v>1579</v>
      </c>
      <c r="C687" s="54" t="s">
        <v>25</v>
      </c>
      <c r="E687" s="1">
        <v>11728</v>
      </c>
      <c r="F687" s="309">
        <v>269014</v>
      </c>
      <c r="G687" s="309">
        <v>315500</v>
      </c>
      <c r="H687" s="368">
        <f t="shared" si="62"/>
        <v>8.5382551325190376E-4</v>
      </c>
      <c r="J687" s="1">
        <v>11614</v>
      </c>
      <c r="K687" s="309">
        <v>281040</v>
      </c>
      <c r="L687" s="309">
        <v>326400</v>
      </c>
      <c r="M687" s="368">
        <f t="shared" si="63"/>
        <v>8.9502612593326907E-4</v>
      </c>
      <c r="O687" s="1">
        <v>11685</v>
      </c>
      <c r="P687" s="309">
        <v>284296</v>
      </c>
      <c r="Q687" s="309">
        <v>332200</v>
      </c>
      <c r="R687" s="368">
        <f t="shared" si="64"/>
        <v>8.9828262612184841E-4</v>
      </c>
    </row>
    <row r="688" spans="2:18" x14ac:dyDescent="0.3">
      <c r="B688" s="54" t="s">
        <v>1579</v>
      </c>
      <c r="C688" s="54" t="s">
        <v>26</v>
      </c>
      <c r="E688" s="1">
        <v>75755</v>
      </c>
      <c r="F688" s="309">
        <v>52868</v>
      </c>
      <c r="G688" s="309">
        <v>400500</v>
      </c>
      <c r="H688" s="368">
        <f t="shared" si="62"/>
        <v>5.188040105578598E-4</v>
      </c>
      <c r="J688" s="1">
        <v>58653</v>
      </c>
      <c r="K688" s="309">
        <v>23477</v>
      </c>
      <c r="L688" s="309">
        <v>137700</v>
      </c>
      <c r="M688" s="368">
        <f t="shared" si="63"/>
        <v>1.8782365207026185E-4</v>
      </c>
      <c r="O688" s="1">
        <v>79983</v>
      </c>
      <c r="P688" s="309">
        <v>57387</v>
      </c>
      <c r="Q688" s="309">
        <v>459000</v>
      </c>
      <c r="R688" s="368">
        <f t="shared" si="64"/>
        <v>5.996570956921806E-4</v>
      </c>
    </row>
    <row r="689" spans="2:18" x14ac:dyDescent="0.3">
      <c r="B689" s="54" t="s">
        <v>1580</v>
      </c>
      <c r="C689" s="54" t="s">
        <v>24</v>
      </c>
      <c r="E689" s="1">
        <v>1021</v>
      </c>
      <c r="F689" s="309">
        <v>69295</v>
      </c>
      <c r="G689" s="309">
        <v>7075</v>
      </c>
      <c r="H689" s="368">
        <f t="shared" si="62"/>
        <v>6.2418513237508753E-6</v>
      </c>
      <c r="J689" s="1">
        <v>1026</v>
      </c>
      <c r="K689" s="309">
        <v>86033</v>
      </c>
      <c r="L689" s="309">
        <v>8827</v>
      </c>
      <c r="M689" s="368">
        <f t="shared" si="63"/>
        <v>7.8761144498953961E-6</v>
      </c>
      <c r="O689" s="1">
        <v>1027</v>
      </c>
      <c r="P689" s="309">
        <v>86816</v>
      </c>
      <c r="Q689" s="309">
        <v>8916</v>
      </c>
      <c r="R689" s="368">
        <f t="shared" si="64"/>
        <v>7.7824309186728075E-6</v>
      </c>
    </row>
    <row r="690" spans="2:18" x14ac:dyDescent="0.3">
      <c r="B690" s="54" t="s">
        <v>1580</v>
      </c>
      <c r="C690" s="54" t="s">
        <v>25</v>
      </c>
      <c r="E690" s="1">
        <v>585</v>
      </c>
      <c r="F690" s="309">
        <v>269009</v>
      </c>
      <c r="G690" s="309">
        <v>15737</v>
      </c>
      <c r="H690" s="368">
        <f t="shared" si="62"/>
        <v>4.258843772439052E-5</v>
      </c>
      <c r="J690" s="1">
        <v>576</v>
      </c>
      <c r="K690" s="309">
        <v>271059</v>
      </c>
      <c r="L690" s="309">
        <v>15613</v>
      </c>
      <c r="M690" s="368">
        <f t="shared" si="63"/>
        <v>4.2812631446679317E-5</v>
      </c>
      <c r="O690" s="1">
        <v>582</v>
      </c>
      <c r="P690" s="309">
        <v>270893</v>
      </c>
      <c r="Q690" s="309">
        <v>15766</v>
      </c>
      <c r="R690" s="368">
        <f t="shared" si="64"/>
        <v>4.263192017891951E-5</v>
      </c>
    </row>
    <row r="691" spans="2:18" x14ac:dyDescent="0.3">
      <c r="B691" s="54" t="s">
        <v>1580</v>
      </c>
      <c r="C691" s="54" t="s">
        <v>1470</v>
      </c>
      <c r="E691" s="1">
        <v>137</v>
      </c>
      <c r="F691" s="309">
        <v>111679</v>
      </c>
      <c r="G691" s="309">
        <v>1530</v>
      </c>
      <c r="H691" s="368">
        <f t="shared" si="62"/>
        <v>8.4559521606706162E-7</v>
      </c>
      <c r="J691" s="1">
        <v>127</v>
      </c>
      <c r="K691" s="309">
        <v>113543</v>
      </c>
      <c r="L691" s="309">
        <v>1442</v>
      </c>
      <c r="M691" s="368">
        <f t="shared" si="63"/>
        <v>7.5721422342816473E-7</v>
      </c>
      <c r="O691" s="1">
        <v>136</v>
      </c>
      <c r="P691" s="309">
        <v>105662</v>
      </c>
      <c r="Q691" s="309">
        <v>1437</v>
      </c>
      <c r="R691" s="368">
        <f t="shared" si="64"/>
        <v>7.463058289928534E-7</v>
      </c>
    </row>
    <row r="692" spans="2:18" x14ac:dyDescent="0.3">
      <c r="B692" s="54" t="s">
        <v>1580</v>
      </c>
      <c r="C692" s="54" t="s">
        <v>26</v>
      </c>
      <c r="E692" s="1">
        <v>929</v>
      </c>
      <c r="F692" s="309">
        <v>42842</v>
      </c>
      <c r="G692" s="309">
        <v>3980</v>
      </c>
      <c r="H692" s="368">
        <f t="shared" si="62"/>
        <v>5.155655335880854E-6</v>
      </c>
      <c r="J692" s="1">
        <v>929</v>
      </c>
      <c r="K692" s="309">
        <v>38525</v>
      </c>
      <c r="L692" s="309">
        <v>3579</v>
      </c>
      <c r="M692" s="368">
        <f t="shared" si="63"/>
        <v>4.8817781464013595E-6</v>
      </c>
      <c r="O692" s="1">
        <v>939</v>
      </c>
      <c r="P692" s="309">
        <v>38498</v>
      </c>
      <c r="Q692" s="309">
        <v>3615</v>
      </c>
      <c r="R692" s="368">
        <f t="shared" si="64"/>
        <v>4.7227895445037755E-6</v>
      </c>
    </row>
    <row r="693" spans="2:18" x14ac:dyDescent="0.3">
      <c r="B693" s="54" t="s">
        <v>16</v>
      </c>
      <c r="C693" s="54" t="s">
        <v>24</v>
      </c>
      <c r="E693" s="1">
        <v>1250827</v>
      </c>
      <c r="F693" s="309">
        <v>47182</v>
      </c>
      <c r="G693" s="309">
        <v>5901630</v>
      </c>
      <c r="H693" s="368">
        <f t="shared" si="62"/>
        <v>5.2066568237156014E-3</v>
      </c>
      <c r="J693" s="1">
        <v>1373922</v>
      </c>
      <c r="K693" s="309">
        <v>49685</v>
      </c>
      <c r="L693" s="309">
        <v>6826379</v>
      </c>
      <c r="M693" s="368">
        <f t="shared" si="63"/>
        <v>6.0910096615342116E-3</v>
      </c>
      <c r="O693" s="1">
        <v>1413246</v>
      </c>
      <c r="P693" s="309">
        <v>51203</v>
      </c>
      <c r="Q693" s="309">
        <v>7236313</v>
      </c>
      <c r="R693" s="368">
        <f t="shared" si="64"/>
        <v>6.3162972216682343E-3</v>
      </c>
    </row>
    <row r="694" spans="2:18" x14ac:dyDescent="0.3">
      <c r="B694" s="54" t="s">
        <v>16</v>
      </c>
      <c r="C694" s="54" t="s">
        <v>25</v>
      </c>
      <c r="E694" s="1">
        <v>179620</v>
      </c>
      <c r="F694" s="309">
        <v>214503</v>
      </c>
      <c r="G694" s="309">
        <v>3852897</v>
      </c>
      <c r="H694" s="368">
        <f t="shared" si="62"/>
        <v>1.0426946936709097E-2</v>
      </c>
      <c r="J694" s="1">
        <v>193992</v>
      </c>
      <c r="K694" s="309">
        <v>236699</v>
      </c>
      <c r="L694" s="309">
        <v>4591776</v>
      </c>
      <c r="M694" s="368">
        <f t="shared" si="63"/>
        <v>1.2591174891033586E-2</v>
      </c>
      <c r="O694" s="1">
        <v>195654</v>
      </c>
      <c r="P694" s="309">
        <v>248874</v>
      </c>
      <c r="Q694" s="309">
        <v>4869312</v>
      </c>
      <c r="R694" s="368">
        <f t="shared" si="64"/>
        <v>1.3166822308147591E-2</v>
      </c>
    </row>
    <row r="695" spans="2:18" x14ac:dyDescent="0.3">
      <c r="B695" s="54" t="s">
        <v>16</v>
      </c>
      <c r="C695" s="54" t="s">
        <v>1468</v>
      </c>
      <c r="E695" s="1">
        <v>2900595</v>
      </c>
      <c r="F695" s="309">
        <v>38526</v>
      </c>
      <c r="G695" s="309">
        <v>11174816</v>
      </c>
      <c r="H695" s="368">
        <f t="shared" si="62"/>
        <v>1.5762981742956105E-2</v>
      </c>
      <c r="J695" s="1">
        <v>2810030</v>
      </c>
      <c r="K695" s="309">
        <v>38444</v>
      </c>
      <c r="L695" s="309">
        <v>10802949</v>
      </c>
      <c r="M695" s="368">
        <f t="shared" si="63"/>
        <v>1.5030231171681533E-2</v>
      </c>
      <c r="O695" s="1">
        <v>3033965</v>
      </c>
      <c r="P695" s="309">
        <v>36637</v>
      </c>
      <c r="Q695" s="309">
        <v>11115428</v>
      </c>
      <c r="R695" s="368">
        <f t="shared" si="64"/>
        <v>1.5611684406082032E-2</v>
      </c>
    </row>
    <row r="696" spans="2:18" x14ac:dyDescent="0.3">
      <c r="B696" s="54" t="s">
        <v>16</v>
      </c>
      <c r="C696" s="54" t="s">
        <v>27</v>
      </c>
      <c r="E696" s="1">
        <v>26</v>
      </c>
      <c r="F696" s="309">
        <v>7308</v>
      </c>
      <c r="G696" s="309">
        <v>19</v>
      </c>
      <c r="H696" s="368">
        <f t="shared" si="62"/>
        <v>5.2918508819143833E-8</v>
      </c>
      <c r="J696" s="1">
        <v>27</v>
      </c>
      <c r="K696" s="309">
        <v>10370</v>
      </c>
      <c r="L696" s="309">
        <v>28</v>
      </c>
      <c r="M696" s="368">
        <f t="shared" si="63"/>
        <v>8.1350783979103163E-8</v>
      </c>
      <c r="O696" s="1">
        <v>17</v>
      </c>
      <c r="P696" s="309">
        <v>8824</v>
      </c>
      <c r="Q696" s="309">
        <v>15</v>
      </c>
      <c r="R696" s="368">
        <f t="shared" si="64"/>
        <v>4.5007970641552798E-8</v>
      </c>
    </row>
    <row r="697" spans="2:18" x14ac:dyDescent="0.3">
      <c r="B697" s="54" t="s">
        <v>16</v>
      </c>
      <c r="C697" s="54" t="s">
        <v>1469</v>
      </c>
      <c r="E697" s="1">
        <v>703</v>
      </c>
      <c r="F697" s="309">
        <v>378805</v>
      </c>
      <c r="G697" s="309">
        <v>26630</v>
      </c>
      <c r="H697" s="368">
        <f t="shared" si="62"/>
        <v>8.4811779730068718E-5</v>
      </c>
      <c r="J697" s="1">
        <v>771</v>
      </c>
      <c r="K697" s="309">
        <v>382205</v>
      </c>
      <c r="L697" s="309">
        <v>29468</v>
      </c>
      <c r="M697" s="368">
        <f t="shared" si="63"/>
        <v>1.0766070392307926E-4</v>
      </c>
      <c r="O697" s="1">
        <v>1014</v>
      </c>
      <c r="P697" s="309">
        <v>380868</v>
      </c>
      <c r="Q697" s="309">
        <v>38620</v>
      </c>
      <c r="R697" s="368">
        <f t="shared" si="64"/>
        <v>1.3867246003005119E-4</v>
      </c>
    </row>
    <row r="698" spans="2:18" x14ac:dyDescent="0.3">
      <c r="B698" s="54" t="s">
        <v>16</v>
      </c>
      <c r="C698" s="54" t="s">
        <v>1470</v>
      </c>
      <c r="E698" s="1">
        <v>1341781</v>
      </c>
      <c r="F698" s="309">
        <v>621061</v>
      </c>
      <c r="G698" s="309">
        <v>83332740</v>
      </c>
      <c r="H698" s="368">
        <f t="shared" si="62"/>
        <v>4.6056056395921745E-2</v>
      </c>
      <c r="J698" s="1">
        <v>1101946</v>
      </c>
      <c r="K698" s="309">
        <v>609594</v>
      </c>
      <c r="L698" s="309">
        <v>67173975</v>
      </c>
      <c r="M698" s="368">
        <f t="shared" si="63"/>
        <v>3.5273987041753087E-2</v>
      </c>
      <c r="O698" s="1">
        <v>1039777</v>
      </c>
      <c r="P698" s="309">
        <v>643215</v>
      </c>
      <c r="Q698" s="309">
        <v>66880011</v>
      </c>
      <c r="R698" s="368">
        <f t="shared" si="64"/>
        <v>3.4734128081006371E-2</v>
      </c>
    </row>
    <row r="699" spans="2:18" x14ac:dyDescent="0.3">
      <c r="B699" s="54" t="s">
        <v>16</v>
      </c>
      <c r="C699" s="54" t="s">
        <v>26</v>
      </c>
      <c r="E699" s="1">
        <v>8972422</v>
      </c>
      <c r="F699" s="309">
        <v>29729</v>
      </c>
      <c r="G699" s="309">
        <v>26673703</v>
      </c>
      <c r="H699" s="368">
        <f t="shared" si="62"/>
        <v>3.4552869145640992E-2</v>
      </c>
      <c r="J699" s="1">
        <v>8797227</v>
      </c>
      <c r="K699" s="309">
        <v>28505</v>
      </c>
      <c r="L699" s="309">
        <v>25076149</v>
      </c>
      <c r="M699" s="368">
        <f t="shared" si="63"/>
        <v>3.4204022404052611E-2</v>
      </c>
      <c r="O699" s="1">
        <v>8677730</v>
      </c>
      <c r="P699" s="309">
        <v>28059</v>
      </c>
      <c r="Q699" s="309">
        <v>24348983</v>
      </c>
      <c r="R699" s="368">
        <f t="shared" si="64"/>
        <v>3.1810545596597559E-2</v>
      </c>
    </row>
    <row r="700" spans="2:18" x14ac:dyDescent="0.3">
      <c r="B700" s="54" t="s">
        <v>1581</v>
      </c>
      <c r="C700" s="54" t="s">
        <v>25</v>
      </c>
      <c r="E700" s="1">
        <v>1301</v>
      </c>
      <c r="F700" s="309">
        <v>358125</v>
      </c>
      <c r="G700" s="309">
        <v>46592</v>
      </c>
      <c r="H700" s="368">
        <f t="shared" si="62"/>
        <v>1.2609013728504816E-4</v>
      </c>
      <c r="J700" s="1">
        <v>1605</v>
      </c>
      <c r="K700" s="309">
        <v>370498</v>
      </c>
      <c r="L700" s="309">
        <v>59465</v>
      </c>
      <c r="M700" s="368">
        <f t="shared" si="63"/>
        <v>1.6305983020411104E-4</v>
      </c>
      <c r="O700" s="1">
        <v>1596</v>
      </c>
      <c r="P700" s="309">
        <v>373678</v>
      </c>
      <c r="Q700" s="309">
        <v>59639</v>
      </c>
      <c r="R700" s="368">
        <f t="shared" si="64"/>
        <v>1.6126633816761264E-4</v>
      </c>
    </row>
    <row r="701" spans="2:18" x14ac:dyDescent="0.3">
      <c r="B701" s="54" t="s">
        <v>1581</v>
      </c>
      <c r="C701" s="54" t="s">
        <v>1469</v>
      </c>
      <c r="E701" s="1">
        <v>0</v>
      </c>
      <c r="F701" s="309"/>
      <c r="G701" s="309">
        <v>0</v>
      </c>
      <c r="H701" s="368">
        <f t="shared" si="62"/>
        <v>0</v>
      </c>
      <c r="J701" s="1">
        <v>0</v>
      </c>
      <c r="K701" s="309"/>
      <c r="L701" s="309">
        <v>0</v>
      </c>
      <c r="M701" s="368">
        <f t="shared" si="63"/>
        <v>0</v>
      </c>
      <c r="O701" s="1">
        <v>0</v>
      </c>
      <c r="P701" s="309"/>
      <c r="Q701" s="309">
        <v>0</v>
      </c>
      <c r="R701" s="368">
        <f t="shared" si="64"/>
        <v>0</v>
      </c>
    </row>
    <row r="702" spans="2:18" x14ac:dyDescent="0.3">
      <c r="B702" s="54" t="s">
        <v>1581</v>
      </c>
      <c r="C702" s="54" t="s">
        <v>26</v>
      </c>
      <c r="E702" s="1">
        <v>15492</v>
      </c>
      <c r="F702" s="309">
        <v>22332</v>
      </c>
      <c r="G702" s="309">
        <v>34597</v>
      </c>
      <c r="H702" s="368">
        <f t="shared" si="62"/>
        <v>4.481663508931405E-5</v>
      </c>
      <c r="J702" s="1">
        <v>15372</v>
      </c>
      <c r="K702" s="309">
        <v>22231</v>
      </c>
      <c r="L702" s="309">
        <v>34173</v>
      </c>
      <c r="M702" s="368">
        <f t="shared" si="63"/>
        <v>4.6612183458221197E-5</v>
      </c>
      <c r="O702" s="1">
        <v>15304</v>
      </c>
      <c r="P702" s="309">
        <v>22460</v>
      </c>
      <c r="Q702" s="309">
        <v>34373</v>
      </c>
      <c r="R702" s="368">
        <f t="shared" si="64"/>
        <v>4.4906347168251253E-5</v>
      </c>
    </row>
    <row r="703" spans="2:18" x14ac:dyDescent="0.3">
      <c r="B703" s="54" t="s">
        <v>1582</v>
      </c>
      <c r="C703" s="54" t="s">
        <v>28</v>
      </c>
      <c r="E703" s="1">
        <v>1347</v>
      </c>
      <c r="F703" s="309">
        <v>158983</v>
      </c>
      <c r="G703" s="309">
        <v>21415</v>
      </c>
      <c r="H703" s="368">
        <f t="shared" si="62"/>
        <v>7.5732348787572662E-5</v>
      </c>
      <c r="J703" s="1">
        <v>1289</v>
      </c>
      <c r="K703" s="309">
        <v>160109</v>
      </c>
      <c r="L703" s="309">
        <v>20638</v>
      </c>
      <c r="M703" s="368">
        <f t="shared" si="63"/>
        <v>7.0994143499157129E-5</v>
      </c>
      <c r="O703" s="1">
        <v>1068</v>
      </c>
      <c r="P703" s="309">
        <v>161367</v>
      </c>
      <c r="Q703" s="309">
        <v>17234</v>
      </c>
      <c r="R703" s="368">
        <f t="shared" si="64"/>
        <v>5.7585180331881567E-5</v>
      </c>
    </row>
    <row r="704" spans="2:18" x14ac:dyDescent="0.3">
      <c r="B704" s="54" t="s">
        <v>1582</v>
      </c>
      <c r="C704" s="54" t="s">
        <v>24</v>
      </c>
      <c r="E704" s="1">
        <v>53230</v>
      </c>
      <c r="F704" s="309">
        <v>21821</v>
      </c>
      <c r="G704" s="309">
        <v>116151</v>
      </c>
      <c r="H704" s="368">
        <f t="shared" si="62"/>
        <v>1.0247311280635872E-4</v>
      </c>
      <c r="J704" s="1">
        <v>51538</v>
      </c>
      <c r="K704" s="309">
        <v>21726</v>
      </c>
      <c r="L704" s="309">
        <v>111973</v>
      </c>
      <c r="M704" s="368">
        <f t="shared" si="63"/>
        <v>9.9910746946656529E-5</v>
      </c>
      <c r="O704" s="1">
        <v>50810</v>
      </c>
      <c r="P704" s="309">
        <v>21649</v>
      </c>
      <c r="Q704" s="309">
        <v>110000</v>
      </c>
      <c r="R704" s="368">
        <f t="shared" si="64"/>
        <v>9.6014737668686489E-5</v>
      </c>
    </row>
    <row r="705" spans="2:18" x14ac:dyDescent="0.3">
      <c r="B705" s="54" t="s">
        <v>1582</v>
      </c>
      <c r="C705" s="54" t="s">
        <v>1472</v>
      </c>
      <c r="E705" s="1">
        <v>4066</v>
      </c>
      <c r="F705" s="309">
        <v>101426</v>
      </c>
      <c r="G705" s="309">
        <v>41240</v>
      </c>
      <c r="H705" s="368">
        <f t="shared" si="62"/>
        <v>1.0302397320141608E-4</v>
      </c>
      <c r="J705" s="1">
        <v>3483</v>
      </c>
      <c r="K705" s="309">
        <v>101349</v>
      </c>
      <c r="L705" s="309">
        <v>35300</v>
      </c>
      <c r="M705" s="368">
        <f t="shared" si="63"/>
        <v>8.7466448440273013E-5</v>
      </c>
      <c r="O705" s="1">
        <v>2741</v>
      </c>
      <c r="P705" s="309">
        <v>101262</v>
      </c>
      <c r="Q705" s="309">
        <v>27756</v>
      </c>
      <c r="R705" s="368">
        <f t="shared" si="64"/>
        <v>6.7582721119165972E-5</v>
      </c>
    </row>
    <row r="706" spans="2:18" x14ac:dyDescent="0.3">
      <c r="B706" s="54" t="s">
        <v>1582</v>
      </c>
      <c r="C706" s="54" t="s">
        <v>25</v>
      </c>
      <c r="E706" s="1">
        <v>862</v>
      </c>
      <c r="F706" s="309">
        <v>244072</v>
      </c>
      <c r="G706" s="309">
        <v>21039</v>
      </c>
      <c r="H706" s="368">
        <f t="shared" si="62"/>
        <v>5.6937036365473228E-5</v>
      </c>
      <c r="J706" s="1">
        <v>953</v>
      </c>
      <c r="K706" s="309">
        <v>245761</v>
      </c>
      <c r="L706" s="309">
        <v>23421</v>
      </c>
      <c r="M706" s="368">
        <f t="shared" si="63"/>
        <v>6.4223060341553597E-5</v>
      </c>
      <c r="O706" s="1">
        <v>1050</v>
      </c>
      <c r="P706" s="309">
        <v>247305</v>
      </c>
      <c r="Q706" s="309">
        <v>25967</v>
      </c>
      <c r="R706" s="368">
        <f t="shared" si="64"/>
        <v>7.0215848743245151E-5</v>
      </c>
    </row>
    <row r="707" spans="2:18" x14ac:dyDescent="0.3">
      <c r="B707" s="54" t="s">
        <v>1582</v>
      </c>
      <c r="C707" s="54" t="s">
        <v>1468</v>
      </c>
      <c r="E707" s="1">
        <v>93200</v>
      </c>
      <c r="F707" s="309">
        <v>33949</v>
      </c>
      <c r="G707" s="309">
        <v>316403</v>
      </c>
      <c r="H707" s="368">
        <f t="shared" ref="H707:H770" si="65">G707/(VLOOKUP($C707,$W$5:$Z$13,2,FALSE)*10^6)</f>
        <v>4.4631202092424073E-4</v>
      </c>
      <c r="J707" s="1">
        <v>100284</v>
      </c>
      <c r="K707" s="309">
        <v>33505</v>
      </c>
      <c r="L707" s="309">
        <v>336000</v>
      </c>
      <c r="M707" s="368">
        <f t="shared" ref="M707:M770" si="66">L707/(VLOOKUP($C707,$W$5:$Z$13,3,FALSE)*10^6)</f>
        <v>4.6747954412123903E-4</v>
      </c>
      <c r="O707" s="1">
        <v>89559</v>
      </c>
      <c r="P707" s="309">
        <v>34056</v>
      </c>
      <c r="Q707" s="309">
        <v>305000</v>
      </c>
      <c r="R707" s="368">
        <f t="shared" ref="R707:R770" si="67">Q707/(VLOOKUP($C707,$W$5:$Z$13,4,FALSE)*10^6)</f>
        <v>4.2837430496198793E-4</v>
      </c>
    </row>
    <row r="708" spans="2:18" x14ac:dyDescent="0.3">
      <c r="B708" s="54" t="s">
        <v>1582</v>
      </c>
      <c r="C708" s="54" t="s">
        <v>27</v>
      </c>
      <c r="E708" s="1">
        <v>247</v>
      </c>
      <c r="F708" s="309">
        <v>2996</v>
      </c>
      <c r="G708" s="309">
        <v>74</v>
      </c>
      <c r="H708" s="368">
        <f t="shared" si="65"/>
        <v>2.0610366592719178E-7</v>
      </c>
      <c r="J708" s="1">
        <v>211</v>
      </c>
      <c r="K708" s="309">
        <v>2796</v>
      </c>
      <c r="L708" s="309">
        <v>59</v>
      </c>
      <c r="M708" s="368">
        <f t="shared" si="66"/>
        <v>1.7141772338453883E-7</v>
      </c>
      <c r="O708" s="1">
        <v>167</v>
      </c>
      <c r="P708" s="309">
        <v>2575</v>
      </c>
      <c r="Q708" s="309">
        <v>43</v>
      </c>
      <c r="R708" s="368">
        <f t="shared" si="67"/>
        <v>1.2902284917245134E-7</v>
      </c>
    </row>
    <row r="709" spans="2:18" x14ac:dyDescent="0.3">
      <c r="B709" s="54" t="s">
        <v>1582</v>
      </c>
      <c r="C709" s="54" t="s">
        <v>1470</v>
      </c>
      <c r="E709" s="1">
        <v>38629</v>
      </c>
      <c r="F709" s="309">
        <v>697546</v>
      </c>
      <c r="G709" s="309">
        <v>2694552</v>
      </c>
      <c r="H709" s="368">
        <f t="shared" si="65"/>
        <v>1.4892158697019169E-3</v>
      </c>
      <c r="J709" s="1">
        <v>38749</v>
      </c>
      <c r="K709" s="309">
        <v>756509</v>
      </c>
      <c r="L709" s="309">
        <v>2931395</v>
      </c>
      <c r="M709" s="368">
        <f t="shared" si="66"/>
        <v>1.5393162194772571E-3</v>
      </c>
      <c r="O709" s="1">
        <v>37548</v>
      </c>
      <c r="P709" s="309">
        <v>711332</v>
      </c>
      <c r="Q709" s="309">
        <v>2670909</v>
      </c>
      <c r="R709" s="368">
        <f t="shared" si="67"/>
        <v>1.3871363642376292E-3</v>
      </c>
    </row>
    <row r="710" spans="2:18" x14ac:dyDescent="0.3">
      <c r="B710" s="54" t="s">
        <v>1583</v>
      </c>
      <c r="C710" s="54" t="s">
        <v>28</v>
      </c>
      <c r="E710" s="1">
        <v>15480</v>
      </c>
      <c r="F710" s="309">
        <v>98738</v>
      </c>
      <c r="G710" s="309">
        <v>152847</v>
      </c>
      <c r="H710" s="368">
        <f t="shared" si="65"/>
        <v>5.4053057740528223E-4</v>
      </c>
      <c r="J710" s="1">
        <v>15612</v>
      </c>
      <c r="K710" s="309">
        <v>98640</v>
      </c>
      <c r="L710" s="309">
        <v>153996</v>
      </c>
      <c r="M710" s="368">
        <f t="shared" si="66"/>
        <v>5.2974193828356437E-4</v>
      </c>
      <c r="O710" s="1">
        <v>15743</v>
      </c>
      <c r="P710" s="309">
        <v>98549</v>
      </c>
      <c r="Q710" s="309">
        <v>155145</v>
      </c>
      <c r="R710" s="368">
        <f t="shared" si="67"/>
        <v>5.1839693643900226E-4</v>
      </c>
    </row>
    <row r="711" spans="2:18" x14ac:dyDescent="0.3">
      <c r="B711" s="54" t="s">
        <v>1583</v>
      </c>
      <c r="C711" s="54" t="s">
        <v>24</v>
      </c>
      <c r="E711" s="1">
        <v>2321</v>
      </c>
      <c r="F711" s="309">
        <v>56579</v>
      </c>
      <c r="G711" s="309">
        <v>13132</v>
      </c>
      <c r="H711" s="368">
        <f t="shared" si="65"/>
        <v>1.1585581849257455E-5</v>
      </c>
      <c r="J711" s="1">
        <v>2354</v>
      </c>
      <c r="K711" s="309">
        <v>57336</v>
      </c>
      <c r="L711" s="309">
        <v>13497</v>
      </c>
      <c r="M711" s="368">
        <f t="shared" si="66"/>
        <v>1.204304030024223E-5</v>
      </c>
      <c r="O711" s="1">
        <v>2387</v>
      </c>
      <c r="P711" s="309">
        <v>58073</v>
      </c>
      <c r="Q711" s="309">
        <v>13862</v>
      </c>
      <c r="R711" s="368">
        <f t="shared" si="67"/>
        <v>1.2099602668757564E-5</v>
      </c>
    </row>
    <row r="712" spans="2:18" x14ac:dyDescent="0.3">
      <c r="B712" s="54" t="s">
        <v>1583</v>
      </c>
      <c r="C712" s="54" t="s">
        <v>1472</v>
      </c>
      <c r="E712" s="1">
        <v>182946</v>
      </c>
      <c r="F712" s="309">
        <v>136678</v>
      </c>
      <c r="G712" s="309">
        <v>2500464</v>
      </c>
      <c r="H712" s="368">
        <f t="shared" si="65"/>
        <v>6.2465503425583333E-3</v>
      </c>
      <c r="J712" s="1">
        <v>190668</v>
      </c>
      <c r="K712" s="309">
        <v>135900</v>
      </c>
      <c r="L712" s="309">
        <v>2591171</v>
      </c>
      <c r="M712" s="368">
        <f t="shared" si="66"/>
        <v>6.420411463779906E-3</v>
      </c>
      <c r="O712" s="1">
        <v>198480</v>
      </c>
      <c r="P712" s="309">
        <v>135121</v>
      </c>
      <c r="Q712" s="309">
        <v>2681878</v>
      </c>
      <c r="R712" s="368">
        <f t="shared" si="67"/>
        <v>6.5300696407849324E-3</v>
      </c>
    </row>
    <row r="713" spans="2:18" x14ac:dyDescent="0.3">
      <c r="B713" s="54" t="s">
        <v>1583</v>
      </c>
      <c r="C713" s="54" t="s">
        <v>25</v>
      </c>
      <c r="E713" s="1">
        <v>222</v>
      </c>
      <c r="F713" s="309">
        <v>56577</v>
      </c>
      <c r="G713" s="309">
        <v>1256</v>
      </c>
      <c r="H713" s="368">
        <f t="shared" si="65"/>
        <v>3.3990644838174044E-6</v>
      </c>
      <c r="J713" s="1">
        <v>224</v>
      </c>
      <c r="K713" s="309">
        <v>57500</v>
      </c>
      <c r="L713" s="309">
        <v>1288</v>
      </c>
      <c r="M713" s="368">
        <f t="shared" si="66"/>
        <v>3.531843291060204E-6</v>
      </c>
      <c r="O713" s="1">
        <v>226</v>
      </c>
      <c r="P713" s="309">
        <v>58363</v>
      </c>
      <c r="Q713" s="309">
        <v>1319</v>
      </c>
      <c r="R713" s="368">
        <f t="shared" si="67"/>
        <v>3.566630896612637E-6</v>
      </c>
    </row>
    <row r="714" spans="2:18" x14ac:dyDescent="0.3">
      <c r="B714" s="54" t="s">
        <v>1583</v>
      </c>
      <c r="C714" s="54" t="s">
        <v>1468</v>
      </c>
      <c r="E714" s="1">
        <v>408</v>
      </c>
      <c r="F714" s="309">
        <v>20784</v>
      </c>
      <c r="G714" s="309">
        <v>848</v>
      </c>
      <c r="H714" s="368">
        <f t="shared" si="65"/>
        <v>1.1961725828887721E-6</v>
      </c>
      <c r="J714" s="1">
        <v>407</v>
      </c>
      <c r="K714" s="309">
        <v>20885</v>
      </c>
      <c r="L714" s="309">
        <v>850</v>
      </c>
      <c r="M714" s="368">
        <f t="shared" si="66"/>
        <v>1.1826119419733725E-6</v>
      </c>
      <c r="O714" s="1">
        <v>406</v>
      </c>
      <c r="P714" s="309">
        <v>21010</v>
      </c>
      <c r="Q714" s="309">
        <v>853</v>
      </c>
      <c r="R714" s="368">
        <f t="shared" si="67"/>
        <v>1.1980435479756582E-6</v>
      </c>
    </row>
    <row r="715" spans="2:18" x14ac:dyDescent="0.3">
      <c r="B715" s="54" t="s">
        <v>1583</v>
      </c>
      <c r="C715" s="54" t="s">
        <v>1470</v>
      </c>
      <c r="E715" s="1">
        <v>6948</v>
      </c>
      <c r="F715" s="309">
        <v>289345</v>
      </c>
      <c r="G715" s="309">
        <v>201037</v>
      </c>
      <c r="H715" s="368">
        <f t="shared" si="65"/>
        <v>1.1110844800815285E-4</v>
      </c>
      <c r="J715" s="1">
        <v>6775</v>
      </c>
      <c r="K715" s="309">
        <v>276934</v>
      </c>
      <c r="L715" s="309">
        <v>187623</v>
      </c>
      <c r="M715" s="368">
        <f t="shared" si="66"/>
        <v>9.8523442609058635E-5</v>
      </c>
      <c r="O715" s="1">
        <v>6635</v>
      </c>
      <c r="P715" s="309">
        <v>264561</v>
      </c>
      <c r="Q715" s="309">
        <v>175536</v>
      </c>
      <c r="R715" s="368">
        <f t="shared" si="67"/>
        <v>9.1164606818433904E-5</v>
      </c>
    </row>
    <row r="716" spans="2:18" x14ac:dyDescent="0.3">
      <c r="B716" s="54" t="s">
        <v>1584</v>
      </c>
      <c r="C716" s="54" t="s">
        <v>28</v>
      </c>
      <c r="E716" s="1">
        <v>182000</v>
      </c>
      <c r="F716" s="309">
        <v>174000</v>
      </c>
      <c r="G716" s="309">
        <v>3166800</v>
      </c>
      <c r="H716" s="368">
        <f t="shared" si="65"/>
        <v>1.1199122210622699E-2</v>
      </c>
      <c r="J716" s="1">
        <v>183000</v>
      </c>
      <c r="K716" s="309">
        <v>180000</v>
      </c>
      <c r="L716" s="309">
        <v>3293999</v>
      </c>
      <c r="M716" s="368">
        <f t="shared" si="66"/>
        <v>1.1331264545599384E-2</v>
      </c>
      <c r="O716" s="1">
        <v>188000</v>
      </c>
      <c r="P716" s="309">
        <v>180000</v>
      </c>
      <c r="Q716" s="309">
        <v>3384000</v>
      </c>
      <c r="R716" s="368">
        <f t="shared" si="67"/>
        <v>1.130719799484085E-2</v>
      </c>
    </row>
    <row r="717" spans="2:18" x14ac:dyDescent="0.3">
      <c r="B717" s="54" t="s">
        <v>1584</v>
      </c>
      <c r="C717" s="54" t="s">
        <v>24</v>
      </c>
      <c r="E717" s="1">
        <v>940000</v>
      </c>
      <c r="F717" s="309">
        <v>54850</v>
      </c>
      <c r="G717" s="309">
        <v>5155900</v>
      </c>
      <c r="H717" s="368">
        <f t="shared" si="65"/>
        <v>4.5487436381805146E-3</v>
      </c>
      <c r="J717" s="1">
        <v>1070000</v>
      </c>
      <c r="K717" s="309">
        <v>49950</v>
      </c>
      <c r="L717" s="309">
        <v>5344650</v>
      </c>
      <c r="M717" s="368">
        <f t="shared" si="66"/>
        <v>4.7688994102904076E-3</v>
      </c>
      <c r="O717" s="1">
        <v>1085005</v>
      </c>
      <c r="P717" s="309">
        <v>51400</v>
      </c>
      <c r="Q717" s="309">
        <v>5576900</v>
      </c>
      <c r="R717" s="368">
        <f t="shared" si="67"/>
        <v>4.8678599136772515E-3</v>
      </c>
    </row>
    <row r="718" spans="2:18" x14ac:dyDescent="0.3">
      <c r="B718" s="54" t="s">
        <v>1584</v>
      </c>
      <c r="C718" s="54" t="s">
        <v>1472</v>
      </c>
      <c r="E718" s="1">
        <v>16388</v>
      </c>
      <c r="F718" s="309">
        <v>94614</v>
      </c>
      <c r="G718" s="309">
        <v>155053</v>
      </c>
      <c r="H718" s="368">
        <f t="shared" si="65"/>
        <v>3.8734665656642016E-4</v>
      </c>
      <c r="J718" s="1">
        <v>16539</v>
      </c>
      <c r="K718" s="309">
        <v>94546</v>
      </c>
      <c r="L718" s="309">
        <v>156369</v>
      </c>
      <c r="M718" s="368">
        <f t="shared" si="66"/>
        <v>3.8745158855968984E-4</v>
      </c>
      <c r="O718" s="1">
        <v>16709</v>
      </c>
      <c r="P718" s="309">
        <v>94478</v>
      </c>
      <c r="Q718" s="309">
        <v>157864</v>
      </c>
      <c r="R718" s="368">
        <f t="shared" si="67"/>
        <v>3.843809874173518E-4</v>
      </c>
    </row>
    <row r="719" spans="2:18" x14ac:dyDescent="0.3">
      <c r="B719" s="54" t="s">
        <v>1584</v>
      </c>
      <c r="C719" s="54" t="s">
        <v>25</v>
      </c>
      <c r="E719" s="1">
        <v>260</v>
      </c>
      <c r="F719" s="309">
        <v>144615</v>
      </c>
      <c r="G719" s="309">
        <v>3760</v>
      </c>
      <c r="H719" s="368">
        <f t="shared" si="65"/>
        <v>1.0175543359198599E-5</v>
      </c>
      <c r="J719" s="1">
        <v>266</v>
      </c>
      <c r="K719" s="309">
        <v>144774</v>
      </c>
      <c r="L719" s="309">
        <v>3851</v>
      </c>
      <c r="M719" s="368">
        <f t="shared" si="66"/>
        <v>1.0559882386547239E-5</v>
      </c>
      <c r="O719" s="1">
        <v>270</v>
      </c>
      <c r="P719" s="309">
        <v>143222</v>
      </c>
      <c r="Q719" s="309">
        <v>3867</v>
      </c>
      <c r="R719" s="368">
        <f t="shared" si="67"/>
        <v>1.0456528944049332E-5</v>
      </c>
    </row>
    <row r="720" spans="2:18" x14ac:dyDescent="0.3">
      <c r="B720" s="54" t="s">
        <v>1584</v>
      </c>
      <c r="C720" s="54" t="s">
        <v>1468</v>
      </c>
      <c r="E720" s="1">
        <v>140000</v>
      </c>
      <c r="F720" s="309">
        <v>66000</v>
      </c>
      <c r="G720" s="309">
        <v>924000</v>
      </c>
      <c r="H720" s="368">
        <f t="shared" si="65"/>
        <v>1.3033767294684262E-3</v>
      </c>
      <c r="J720" s="1">
        <v>142000</v>
      </c>
      <c r="K720" s="309">
        <v>63000</v>
      </c>
      <c r="L720" s="309">
        <v>894600</v>
      </c>
      <c r="M720" s="368">
        <f t="shared" si="66"/>
        <v>1.2446642862227989E-3</v>
      </c>
      <c r="O720" s="1">
        <v>162000</v>
      </c>
      <c r="P720" s="309">
        <v>66000</v>
      </c>
      <c r="Q720" s="309">
        <v>1069200</v>
      </c>
      <c r="R720" s="368">
        <f t="shared" si="67"/>
        <v>1.5016977274274017E-3</v>
      </c>
    </row>
    <row r="721" spans="2:18" x14ac:dyDescent="0.3">
      <c r="B721" s="54" t="s">
        <v>1584</v>
      </c>
      <c r="C721" s="54" t="s">
        <v>27</v>
      </c>
      <c r="E721" s="1">
        <v>3380000</v>
      </c>
      <c r="F721" s="309">
        <v>31000</v>
      </c>
      <c r="G721" s="309">
        <v>10478000</v>
      </c>
      <c r="H721" s="368">
        <f t="shared" si="65"/>
        <v>2.918316502142048E-2</v>
      </c>
      <c r="J721" s="1">
        <v>3510000</v>
      </c>
      <c r="K721" s="309">
        <v>31470</v>
      </c>
      <c r="L721" s="309">
        <v>11045971</v>
      </c>
      <c r="M721" s="368">
        <f t="shared" si="66"/>
        <v>3.2092800023587081E-2</v>
      </c>
      <c r="O721" s="1">
        <v>3565000</v>
      </c>
      <c r="P721" s="309">
        <v>23900</v>
      </c>
      <c r="Q721" s="309">
        <v>8520350</v>
      </c>
      <c r="R721" s="368">
        <f t="shared" si="67"/>
        <v>2.5565577510383623E-2</v>
      </c>
    </row>
    <row r="722" spans="2:18" x14ac:dyDescent="0.3">
      <c r="B722" s="54" t="s">
        <v>1584</v>
      </c>
      <c r="C722" s="54" t="s">
        <v>1470</v>
      </c>
      <c r="E722" s="1">
        <v>118000</v>
      </c>
      <c r="F722" s="309">
        <v>560000</v>
      </c>
      <c r="G722" s="309">
        <v>6608000</v>
      </c>
      <c r="H722" s="368">
        <f t="shared" si="65"/>
        <v>3.6520870508308127E-3</v>
      </c>
      <c r="J722" s="1">
        <v>110000</v>
      </c>
      <c r="K722" s="309">
        <v>560000</v>
      </c>
      <c r="L722" s="309">
        <v>6160000</v>
      </c>
      <c r="M722" s="368">
        <f t="shared" si="66"/>
        <v>3.2347015369746843E-3</v>
      </c>
      <c r="O722" s="1">
        <v>103000</v>
      </c>
      <c r="P722" s="309">
        <v>565000</v>
      </c>
      <c r="Q722" s="309">
        <v>5819500</v>
      </c>
      <c r="R722" s="368">
        <f t="shared" si="67"/>
        <v>3.0223568349505292E-3</v>
      </c>
    </row>
    <row r="723" spans="2:18" x14ac:dyDescent="0.3">
      <c r="B723" s="54" t="s">
        <v>1584</v>
      </c>
      <c r="C723" s="54" t="s">
        <v>26</v>
      </c>
      <c r="E723" s="1">
        <v>510000</v>
      </c>
      <c r="F723" s="309">
        <v>20000</v>
      </c>
      <c r="G723" s="309">
        <v>1020000</v>
      </c>
      <c r="H723" s="368">
        <f t="shared" si="65"/>
        <v>1.3212986036679575E-3</v>
      </c>
      <c r="J723" s="1">
        <v>430000</v>
      </c>
      <c r="K723" s="309">
        <v>16800</v>
      </c>
      <c r="L723" s="309">
        <v>722400</v>
      </c>
      <c r="M723" s="368">
        <f t="shared" si="66"/>
        <v>9.8535807012024076E-4</v>
      </c>
      <c r="O723" s="1">
        <v>485000</v>
      </c>
      <c r="P723" s="309">
        <v>28000</v>
      </c>
      <c r="Q723" s="309">
        <v>1358000</v>
      </c>
      <c r="R723" s="368">
        <f t="shared" si="67"/>
        <v>1.7741488800653187E-3</v>
      </c>
    </row>
    <row r="724" spans="2:18" x14ac:dyDescent="0.3">
      <c r="B724" s="54" t="s">
        <v>1585</v>
      </c>
      <c r="C724" s="54" t="s">
        <v>28</v>
      </c>
      <c r="E724" s="1">
        <v>98032</v>
      </c>
      <c r="F724" s="309">
        <v>122047</v>
      </c>
      <c r="G724" s="309">
        <v>1196449</v>
      </c>
      <c r="H724" s="368">
        <f t="shared" si="65"/>
        <v>4.2311413950288359E-3</v>
      </c>
      <c r="J724" s="1">
        <v>104468</v>
      </c>
      <c r="K724" s="309">
        <v>118672</v>
      </c>
      <c r="L724" s="309">
        <v>1239741</v>
      </c>
      <c r="M724" s="368">
        <f t="shared" si="66"/>
        <v>4.2646744091379279E-3</v>
      </c>
      <c r="O724" s="1">
        <v>104040</v>
      </c>
      <c r="P724" s="309">
        <v>123608</v>
      </c>
      <c r="Q724" s="309">
        <v>1286013</v>
      </c>
      <c r="R724" s="368">
        <f t="shared" si="67"/>
        <v>4.2970459855021471E-3</v>
      </c>
    </row>
    <row r="725" spans="2:18" x14ac:dyDescent="0.3">
      <c r="B725" s="54" t="s">
        <v>1585</v>
      </c>
      <c r="C725" s="54" t="s">
        <v>24</v>
      </c>
      <c r="E725" s="1">
        <v>446426</v>
      </c>
      <c r="F725" s="309">
        <v>34126</v>
      </c>
      <c r="G725" s="309">
        <v>1523469</v>
      </c>
      <c r="H725" s="368">
        <f t="shared" si="65"/>
        <v>1.3440660062676215E-3</v>
      </c>
      <c r="J725" s="1">
        <v>462076</v>
      </c>
      <c r="K725" s="309">
        <v>34175</v>
      </c>
      <c r="L725" s="309">
        <v>1579142</v>
      </c>
      <c r="M725" s="368">
        <f t="shared" si="66"/>
        <v>1.409029469200942E-3</v>
      </c>
      <c r="O725" s="1">
        <v>455501</v>
      </c>
      <c r="P725" s="309">
        <v>34683</v>
      </c>
      <c r="Q725" s="309">
        <v>1579796</v>
      </c>
      <c r="R725" s="368">
        <f t="shared" si="67"/>
        <v>1.3789427137276386E-3</v>
      </c>
    </row>
    <row r="726" spans="2:18" x14ac:dyDescent="0.3">
      <c r="B726" s="54" t="s">
        <v>1585</v>
      </c>
      <c r="C726" s="54" t="s">
        <v>1472</v>
      </c>
      <c r="E726" s="1">
        <v>58951</v>
      </c>
      <c r="F726" s="309">
        <v>144531</v>
      </c>
      <c r="G726" s="309">
        <v>852022</v>
      </c>
      <c r="H726" s="368">
        <f t="shared" si="65"/>
        <v>2.1284842797045815E-3</v>
      </c>
      <c r="J726" s="1">
        <v>66228</v>
      </c>
      <c r="K726" s="309">
        <v>139065</v>
      </c>
      <c r="L726" s="309">
        <v>921001</v>
      </c>
      <c r="M726" s="368">
        <f t="shared" si="66"/>
        <v>2.2820591070804503E-3</v>
      </c>
      <c r="O726" s="1">
        <v>72861</v>
      </c>
      <c r="P726" s="309">
        <v>125297</v>
      </c>
      <c r="Q726" s="309">
        <v>912929</v>
      </c>
      <c r="R726" s="368">
        <f t="shared" si="67"/>
        <v>2.22287887334627E-3</v>
      </c>
    </row>
    <row r="727" spans="2:18" x14ac:dyDescent="0.3">
      <c r="B727" s="54" t="s">
        <v>1585</v>
      </c>
      <c r="C727" s="54" t="s">
        <v>25</v>
      </c>
      <c r="E727" s="1">
        <v>310400</v>
      </c>
      <c r="F727" s="309">
        <v>153875</v>
      </c>
      <c r="G727" s="309">
        <v>4776294</v>
      </c>
      <c r="H727" s="368">
        <f t="shared" si="65"/>
        <v>1.2925900716297904E-2</v>
      </c>
      <c r="J727" s="1">
        <v>325592</v>
      </c>
      <c r="K727" s="309">
        <v>157606</v>
      </c>
      <c r="L727" s="309">
        <v>5131535</v>
      </c>
      <c r="M727" s="368">
        <f t="shared" si="66"/>
        <v>1.4071255793936819E-2</v>
      </c>
      <c r="O727" s="1">
        <v>329980</v>
      </c>
      <c r="P727" s="309">
        <v>161557</v>
      </c>
      <c r="Q727" s="309">
        <v>5331063</v>
      </c>
      <c r="R727" s="368">
        <f t="shared" si="67"/>
        <v>1.4415416230165621E-2</v>
      </c>
    </row>
    <row r="728" spans="2:18" x14ac:dyDescent="0.3">
      <c r="B728" s="54" t="s">
        <v>1585</v>
      </c>
      <c r="C728" s="54" t="s">
        <v>1468</v>
      </c>
      <c r="E728" s="1">
        <v>426253</v>
      </c>
      <c r="F728" s="309">
        <v>73091</v>
      </c>
      <c r="G728" s="309">
        <v>3115544</v>
      </c>
      <c r="H728" s="368">
        <f t="shared" si="65"/>
        <v>4.3947267848863407E-3</v>
      </c>
      <c r="J728" s="1">
        <v>437938</v>
      </c>
      <c r="K728" s="309">
        <v>81242</v>
      </c>
      <c r="L728" s="309">
        <v>3557900</v>
      </c>
      <c r="M728" s="368">
        <f t="shared" si="66"/>
        <v>4.950135327467132E-3</v>
      </c>
      <c r="O728" s="1">
        <v>414509</v>
      </c>
      <c r="P728" s="309">
        <v>76918</v>
      </c>
      <c r="Q728" s="309">
        <v>3188306</v>
      </c>
      <c r="R728" s="368">
        <f t="shared" si="67"/>
        <v>4.4779946451020854E-3</v>
      </c>
    </row>
    <row r="729" spans="2:18" x14ac:dyDescent="0.3">
      <c r="B729" s="54" t="s">
        <v>1585</v>
      </c>
      <c r="C729" s="54" t="s">
        <v>27</v>
      </c>
      <c r="E729" s="1">
        <v>743</v>
      </c>
      <c r="F729" s="309">
        <v>21279</v>
      </c>
      <c r="G729" s="309">
        <v>1581</v>
      </c>
      <c r="H729" s="368">
        <f t="shared" si="65"/>
        <v>4.4033769706877054E-6</v>
      </c>
      <c r="J729" s="1">
        <v>832</v>
      </c>
      <c r="K729" s="309">
        <v>18389</v>
      </c>
      <c r="L729" s="309">
        <v>1530</v>
      </c>
      <c r="M729" s="368">
        <f t="shared" si="66"/>
        <v>4.4452392674295656E-6</v>
      </c>
      <c r="O729" s="1">
        <v>791</v>
      </c>
      <c r="P729" s="309">
        <v>18647</v>
      </c>
      <c r="Q729" s="309">
        <v>1475</v>
      </c>
      <c r="R729" s="368">
        <f t="shared" si="67"/>
        <v>4.4257837797526919E-6</v>
      </c>
    </row>
    <row r="730" spans="2:18" x14ac:dyDescent="0.3">
      <c r="B730" s="54" t="s">
        <v>1585</v>
      </c>
      <c r="C730" s="54" t="s">
        <v>1470</v>
      </c>
      <c r="E730" s="1">
        <v>77525</v>
      </c>
      <c r="F730" s="309">
        <v>1212463</v>
      </c>
      <c r="G730" s="309">
        <v>9399617</v>
      </c>
      <c r="H730" s="368">
        <f t="shared" si="65"/>
        <v>5.1949484758579256E-3</v>
      </c>
      <c r="J730" s="1">
        <v>84838</v>
      </c>
      <c r="K730" s="309">
        <v>1218343</v>
      </c>
      <c r="L730" s="309">
        <v>10336178</v>
      </c>
      <c r="M730" s="368">
        <f t="shared" si="66"/>
        <v>5.4276705946499863E-3</v>
      </c>
      <c r="O730" s="1">
        <v>87095</v>
      </c>
      <c r="P730" s="309">
        <v>1254876</v>
      </c>
      <c r="Q730" s="309">
        <v>10929341</v>
      </c>
      <c r="R730" s="368">
        <f t="shared" si="67"/>
        <v>5.6761523280101471E-3</v>
      </c>
    </row>
    <row r="731" spans="2:18" x14ac:dyDescent="0.3">
      <c r="B731" s="54" t="s">
        <v>1585</v>
      </c>
      <c r="C731" s="54" t="s">
        <v>26</v>
      </c>
      <c r="E731" s="1">
        <v>127640</v>
      </c>
      <c r="F731" s="309">
        <v>15050</v>
      </c>
      <c r="G731" s="309">
        <v>192099</v>
      </c>
      <c r="H731" s="368">
        <f t="shared" si="65"/>
        <v>2.4884327496667741E-4</v>
      </c>
      <c r="J731" s="1">
        <v>127306</v>
      </c>
      <c r="K731" s="309">
        <v>15397</v>
      </c>
      <c r="L731" s="309">
        <v>196012</v>
      </c>
      <c r="M731" s="368">
        <f t="shared" si="66"/>
        <v>2.6736158089757568E-4</v>
      </c>
      <c r="O731" s="1">
        <v>122624</v>
      </c>
      <c r="P731" s="309">
        <v>15540</v>
      </c>
      <c r="Q731" s="309">
        <v>190560</v>
      </c>
      <c r="R731" s="368">
        <f t="shared" si="67"/>
        <v>2.4895567789782558E-4</v>
      </c>
    </row>
    <row r="732" spans="2:18" x14ac:dyDescent="0.3">
      <c r="B732" s="54" t="s">
        <v>17</v>
      </c>
      <c r="C732" s="54" t="s">
        <v>28</v>
      </c>
      <c r="E732" s="1">
        <v>234540</v>
      </c>
      <c r="F732" s="309">
        <v>119710</v>
      </c>
      <c r="G732" s="309">
        <v>2807671</v>
      </c>
      <c r="H732" s="368">
        <f t="shared" si="65"/>
        <v>9.9290926664839102E-3</v>
      </c>
      <c r="J732" s="1">
        <v>227644</v>
      </c>
      <c r="K732" s="309">
        <v>119618</v>
      </c>
      <c r="L732" s="309">
        <v>2723033</v>
      </c>
      <c r="M732" s="368">
        <f t="shared" si="66"/>
        <v>9.3671574549346031E-3</v>
      </c>
      <c r="O732" s="1">
        <v>222441</v>
      </c>
      <c r="P732" s="309">
        <v>118270</v>
      </c>
      <c r="Q732" s="309">
        <v>2630800</v>
      </c>
      <c r="R732" s="368">
        <f t="shared" si="67"/>
        <v>8.7904776846416399E-3</v>
      </c>
    </row>
    <row r="733" spans="2:18" x14ac:dyDescent="0.3">
      <c r="B733" s="54" t="s">
        <v>17</v>
      </c>
      <c r="C733" s="54" t="s">
        <v>24</v>
      </c>
      <c r="E733" s="1">
        <v>2552592</v>
      </c>
      <c r="F733" s="309">
        <v>31007</v>
      </c>
      <c r="G733" s="309">
        <v>7914908</v>
      </c>
      <c r="H733" s="368">
        <f t="shared" si="65"/>
        <v>6.9828521522496672E-3</v>
      </c>
      <c r="J733" s="1">
        <v>2511436</v>
      </c>
      <c r="K733" s="309">
        <v>30946</v>
      </c>
      <c r="L733" s="309">
        <v>7771919</v>
      </c>
      <c r="M733" s="368">
        <f t="shared" si="66"/>
        <v>6.9346916890581827E-3</v>
      </c>
      <c r="O733" s="1">
        <v>2516723</v>
      </c>
      <c r="P733" s="309">
        <v>31703</v>
      </c>
      <c r="Q733" s="309">
        <v>7978845</v>
      </c>
      <c r="R733" s="368">
        <f t="shared" si="67"/>
        <v>6.9644246324919168E-3</v>
      </c>
    </row>
    <row r="734" spans="2:18" x14ac:dyDescent="0.3">
      <c r="B734" s="54" t="s">
        <v>17</v>
      </c>
      <c r="C734" s="54" t="s">
        <v>1472</v>
      </c>
      <c r="E734" s="1">
        <v>60069</v>
      </c>
      <c r="F734" s="309">
        <v>79041</v>
      </c>
      <c r="G734" s="309">
        <v>474792</v>
      </c>
      <c r="H734" s="368">
        <f t="shared" si="65"/>
        <v>1.1861047110632091E-3</v>
      </c>
      <c r="J734" s="1">
        <v>62671</v>
      </c>
      <c r="K734" s="309">
        <v>79856</v>
      </c>
      <c r="L734" s="309">
        <v>500466</v>
      </c>
      <c r="M734" s="368">
        <f t="shared" si="66"/>
        <v>1.2400561922127388E-3</v>
      </c>
      <c r="O734" s="1">
        <v>62835</v>
      </c>
      <c r="P734" s="309">
        <v>79463</v>
      </c>
      <c r="Q734" s="309">
        <v>499307</v>
      </c>
      <c r="R734" s="368">
        <f t="shared" si="67"/>
        <v>1.2157560791845872E-3</v>
      </c>
    </row>
    <row r="735" spans="2:18" x14ac:dyDescent="0.3">
      <c r="B735" s="54" t="s">
        <v>17</v>
      </c>
      <c r="C735" s="54" t="s">
        <v>25</v>
      </c>
      <c r="E735" s="1">
        <v>7793</v>
      </c>
      <c r="F735" s="309">
        <v>150952</v>
      </c>
      <c r="G735" s="309">
        <v>117637</v>
      </c>
      <c r="H735" s="368">
        <f t="shared" si="65"/>
        <v>3.1835648780479937E-4</v>
      </c>
      <c r="J735" s="1">
        <v>7571</v>
      </c>
      <c r="K735" s="309">
        <v>155096</v>
      </c>
      <c r="L735" s="309">
        <v>117423</v>
      </c>
      <c r="M735" s="368">
        <f t="shared" si="66"/>
        <v>3.2198729407310737E-4</v>
      </c>
      <c r="O735" s="1">
        <v>7514</v>
      </c>
      <c r="P735" s="309">
        <v>154460</v>
      </c>
      <c r="Q735" s="309">
        <v>116061</v>
      </c>
      <c r="R735" s="368">
        <f t="shared" si="67"/>
        <v>3.1383377444409345E-4</v>
      </c>
    </row>
    <row r="736" spans="2:18" x14ac:dyDescent="0.3">
      <c r="B736" s="54" t="s">
        <v>17</v>
      </c>
      <c r="C736" s="54" t="s">
        <v>1468</v>
      </c>
      <c r="E736" s="1">
        <v>4811808</v>
      </c>
      <c r="F736" s="309">
        <v>40061</v>
      </c>
      <c r="G736" s="309">
        <v>19276347</v>
      </c>
      <c r="H736" s="368">
        <f t="shared" si="65"/>
        <v>2.7190846438266785E-2</v>
      </c>
      <c r="J736" s="1">
        <v>4800406</v>
      </c>
      <c r="K736" s="309">
        <v>39718</v>
      </c>
      <c r="L736" s="309">
        <v>19066094</v>
      </c>
      <c r="M736" s="368">
        <f t="shared" si="66"/>
        <v>2.6526812295513961E-2</v>
      </c>
      <c r="O736" s="1">
        <v>4651490</v>
      </c>
      <c r="P736" s="309">
        <v>40449</v>
      </c>
      <c r="Q736" s="309">
        <v>18814827</v>
      </c>
      <c r="R736" s="368">
        <f t="shared" si="67"/>
        <v>2.6425535865918181E-2</v>
      </c>
    </row>
    <row r="737" spans="2:18" x14ac:dyDescent="0.3">
      <c r="B737" s="54" t="s">
        <v>17</v>
      </c>
      <c r="C737" s="54" t="s">
        <v>27</v>
      </c>
      <c r="E737" s="1">
        <v>514</v>
      </c>
      <c r="F737" s="309">
        <v>12957</v>
      </c>
      <c r="G737" s="309">
        <v>666</v>
      </c>
      <c r="H737" s="368">
        <f t="shared" si="65"/>
        <v>1.8549329933447261E-6</v>
      </c>
      <c r="J737" s="1">
        <v>490</v>
      </c>
      <c r="K737" s="309">
        <v>13429</v>
      </c>
      <c r="L737" s="309">
        <v>658</v>
      </c>
      <c r="M737" s="368">
        <f t="shared" si="66"/>
        <v>1.9117434235089244E-6</v>
      </c>
      <c r="O737" s="1">
        <v>461</v>
      </c>
      <c r="P737" s="309">
        <v>14295</v>
      </c>
      <c r="Q737" s="309">
        <v>659</v>
      </c>
      <c r="R737" s="368">
        <f t="shared" si="67"/>
        <v>1.9773501768522193E-6</v>
      </c>
    </row>
    <row r="738" spans="2:18" x14ac:dyDescent="0.3">
      <c r="B738" s="54" t="s">
        <v>17</v>
      </c>
      <c r="C738" s="54" t="s">
        <v>1470</v>
      </c>
      <c r="E738" s="1">
        <v>437471</v>
      </c>
      <c r="F738" s="309">
        <v>669459</v>
      </c>
      <c r="G738" s="309">
        <v>29286893</v>
      </c>
      <c r="H738" s="368">
        <f t="shared" si="65"/>
        <v>1.6186180793639159E-2</v>
      </c>
      <c r="J738" s="1">
        <v>437506</v>
      </c>
      <c r="K738" s="309">
        <v>565268</v>
      </c>
      <c r="L738" s="309">
        <v>24730820</v>
      </c>
      <c r="M738" s="368">
        <f t="shared" si="66"/>
        <v>1.2986496991013678E-2</v>
      </c>
      <c r="O738" s="1">
        <v>379253</v>
      </c>
      <c r="P738" s="309">
        <v>546318</v>
      </c>
      <c r="Q738" s="309">
        <v>20719291</v>
      </c>
      <c r="R738" s="368">
        <f t="shared" si="67"/>
        <v>1.076056203611633E-2</v>
      </c>
    </row>
    <row r="739" spans="2:18" x14ac:dyDescent="0.3">
      <c r="B739" s="54" t="s">
        <v>1586</v>
      </c>
      <c r="C739" s="54" t="s">
        <v>24</v>
      </c>
      <c r="E739" s="1">
        <v>562105</v>
      </c>
      <c r="F739" s="309">
        <v>71545</v>
      </c>
      <c r="G739" s="309">
        <v>4021592</v>
      </c>
      <c r="H739" s="368">
        <f t="shared" si="65"/>
        <v>3.5480112153761035E-3</v>
      </c>
      <c r="J739" s="1">
        <v>645410</v>
      </c>
      <c r="K739" s="309">
        <v>58756</v>
      </c>
      <c r="L739" s="309">
        <v>3792140</v>
      </c>
      <c r="M739" s="368">
        <f t="shared" si="66"/>
        <v>3.3836330180158974E-3</v>
      </c>
      <c r="O739" s="1">
        <v>664950</v>
      </c>
      <c r="P739" s="309">
        <v>55110</v>
      </c>
      <c r="Q739" s="309">
        <v>3664550</v>
      </c>
      <c r="R739" s="368">
        <f t="shared" si="67"/>
        <v>3.1986436993071371E-3</v>
      </c>
    </row>
    <row r="740" spans="2:18" x14ac:dyDescent="0.3">
      <c r="B740" s="54" t="s">
        <v>1586</v>
      </c>
      <c r="C740" s="54" t="s">
        <v>25</v>
      </c>
      <c r="E740" s="1">
        <v>329323</v>
      </c>
      <c r="F740" s="309">
        <v>278503</v>
      </c>
      <c r="G740" s="309">
        <v>9171733</v>
      </c>
      <c r="H740" s="368">
        <f t="shared" si="65"/>
        <v>2.4821108196939532E-2</v>
      </c>
      <c r="J740" s="1">
        <v>290970</v>
      </c>
      <c r="K740" s="309">
        <v>251296</v>
      </c>
      <c r="L740" s="309">
        <v>7311960</v>
      </c>
      <c r="M740" s="368">
        <f t="shared" si="66"/>
        <v>2.0050230489519073E-2</v>
      </c>
      <c r="O740" s="1">
        <v>302480</v>
      </c>
      <c r="P740" s="309">
        <v>214283</v>
      </c>
      <c r="Q740" s="309">
        <v>6481620</v>
      </c>
      <c r="R740" s="368">
        <f t="shared" si="67"/>
        <v>1.7526570244201973E-2</v>
      </c>
    </row>
    <row r="741" spans="2:18" x14ac:dyDescent="0.3">
      <c r="B741" s="54" t="s">
        <v>1586</v>
      </c>
      <c r="C741" s="54" t="s">
        <v>1468</v>
      </c>
      <c r="E741" s="1"/>
      <c r="F741" s="309"/>
      <c r="G741" s="309"/>
      <c r="H741" s="368">
        <f t="shared" si="65"/>
        <v>0</v>
      </c>
      <c r="J741" s="1">
        <v>0</v>
      </c>
      <c r="K741" s="309"/>
      <c r="L741" s="309">
        <v>0</v>
      </c>
      <c r="M741" s="368">
        <f t="shared" si="66"/>
        <v>0</v>
      </c>
      <c r="O741" s="1">
        <v>0</v>
      </c>
      <c r="P741" s="309"/>
      <c r="Q741" s="309">
        <v>0</v>
      </c>
      <c r="R741" s="368">
        <f t="shared" si="67"/>
        <v>0</v>
      </c>
    </row>
    <row r="742" spans="2:18" x14ac:dyDescent="0.3">
      <c r="B742" s="54" t="s">
        <v>1586</v>
      </c>
      <c r="C742" s="54" t="s">
        <v>27</v>
      </c>
      <c r="E742" s="1">
        <v>9333</v>
      </c>
      <c r="F742" s="309">
        <v>21748</v>
      </c>
      <c r="G742" s="309">
        <v>20297</v>
      </c>
      <c r="H742" s="368">
        <f t="shared" si="65"/>
        <v>5.6530893342219077E-5</v>
      </c>
      <c r="J742" s="1">
        <v>5450</v>
      </c>
      <c r="K742" s="309">
        <v>19064</v>
      </c>
      <c r="L742" s="309">
        <v>10390</v>
      </c>
      <c r="M742" s="368">
        <f t="shared" si="66"/>
        <v>3.0186951626531498E-5</v>
      </c>
      <c r="O742" s="1">
        <v>7920</v>
      </c>
      <c r="P742" s="309">
        <v>19621</v>
      </c>
      <c r="Q742" s="309">
        <v>15540</v>
      </c>
      <c r="R742" s="368">
        <f t="shared" si="67"/>
        <v>4.6628257584648694E-5</v>
      </c>
    </row>
    <row r="743" spans="2:18" x14ac:dyDescent="0.3">
      <c r="B743" s="54" t="s">
        <v>1586</v>
      </c>
      <c r="C743" s="54" t="s">
        <v>1469</v>
      </c>
      <c r="E743" s="1">
        <v>231716</v>
      </c>
      <c r="F743" s="309">
        <v>678976</v>
      </c>
      <c r="G743" s="309">
        <v>15732952</v>
      </c>
      <c r="H743" s="368">
        <f t="shared" si="65"/>
        <v>5.0106633853839434E-2</v>
      </c>
      <c r="J743" s="1">
        <v>238920</v>
      </c>
      <c r="K743" s="309">
        <v>598649</v>
      </c>
      <c r="L743" s="309">
        <v>14302910</v>
      </c>
      <c r="M743" s="368">
        <f t="shared" si="66"/>
        <v>5.2255373922507446E-2</v>
      </c>
      <c r="O743" s="1">
        <v>240780</v>
      </c>
      <c r="P743" s="309">
        <v>574658</v>
      </c>
      <c r="Q743" s="309">
        <v>13836620</v>
      </c>
      <c r="R743" s="368">
        <f t="shared" si="67"/>
        <v>4.9683017449534107E-2</v>
      </c>
    </row>
    <row r="744" spans="2:18" x14ac:dyDescent="0.3">
      <c r="B744" s="54" t="s">
        <v>1586</v>
      </c>
      <c r="C744" s="54" t="s">
        <v>26</v>
      </c>
      <c r="E744" s="1">
        <v>2391853</v>
      </c>
      <c r="F744" s="309">
        <v>48773</v>
      </c>
      <c r="G744" s="309">
        <v>11665702</v>
      </c>
      <c r="H744" s="368">
        <f t="shared" si="65"/>
        <v>1.5111642905300491E-2</v>
      </c>
      <c r="J744" s="1">
        <v>2417230</v>
      </c>
      <c r="K744" s="309">
        <v>39871</v>
      </c>
      <c r="L744" s="309">
        <v>9637620</v>
      </c>
      <c r="M744" s="368">
        <f t="shared" si="66"/>
        <v>1.3145773316379063E-2</v>
      </c>
      <c r="O744" s="1">
        <v>2511330</v>
      </c>
      <c r="P744" s="309">
        <v>43035</v>
      </c>
      <c r="Q744" s="309">
        <v>10807490</v>
      </c>
      <c r="R744" s="368">
        <f t="shared" si="67"/>
        <v>1.4119363976301275E-2</v>
      </c>
    </row>
    <row r="745" spans="2:18" x14ac:dyDescent="0.3">
      <c r="B745" s="54" t="s">
        <v>1587</v>
      </c>
      <c r="C745" s="54" t="s">
        <v>24</v>
      </c>
      <c r="E745" s="1">
        <v>86520</v>
      </c>
      <c r="F745" s="309">
        <v>86121</v>
      </c>
      <c r="G745" s="309">
        <v>745123</v>
      </c>
      <c r="H745" s="368">
        <f t="shared" si="65"/>
        <v>6.5737766556992557E-4</v>
      </c>
      <c r="J745" s="1">
        <v>83360</v>
      </c>
      <c r="K745" s="309">
        <v>85636</v>
      </c>
      <c r="L745" s="309">
        <v>713860</v>
      </c>
      <c r="M745" s="368">
        <f t="shared" si="66"/>
        <v>6.3695967613031914E-4</v>
      </c>
      <c r="O745" s="1">
        <v>83360</v>
      </c>
      <c r="P745" s="309">
        <v>89825</v>
      </c>
      <c r="Q745" s="309">
        <v>748780</v>
      </c>
      <c r="R745" s="368">
        <f t="shared" si="67"/>
        <v>6.5358104792326429E-4</v>
      </c>
    </row>
    <row r="746" spans="2:18" x14ac:dyDescent="0.3">
      <c r="B746" s="54" t="s">
        <v>1587</v>
      </c>
      <c r="C746" s="54" t="s">
        <v>25</v>
      </c>
      <c r="E746" s="1">
        <v>23735</v>
      </c>
      <c r="F746" s="309">
        <v>216992</v>
      </c>
      <c r="G746" s="309">
        <v>515030</v>
      </c>
      <c r="H746" s="368">
        <f t="shared" si="65"/>
        <v>1.3938058766723548E-3</v>
      </c>
      <c r="J746" s="1">
        <v>20800</v>
      </c>
      <c r="K746" s="309">
        <v>207543</v>
      </c>
      <c r="L746" s="309">
        <v>431690</v>
      </c>
      <c r="M746" s="368">
        <f t="shared" si="66"/>
        <v>1.1837433465200151E-3</v>
      </c>
      <c r="O746" s="1">
        <v>21650</v>
      </c>
      <c r="P746" s="309">
        <v>226661</v>
      </c>
      <c r="Q746" s="309">
        <v>490720</v>
      </c>
      <c r="R746" s="368">
        <f t="shared" si="67"/>
        <v>1.3269273037041344E-3</v>
      </c>
    </row>
    <row r="747" spans="2:18" x14ac:dyDescent="0.3">
      <c r="B747" s="54" t="s">
        <v>1587</v>
      </c>
      <c r="C747" s="54" t="s">
        <v>1468</v>
      </c>
      <c r="E747" s="1">
        <v>28944</v>
      </c>
      <c r="F747" s="309">
        <v>62112</v>
      </c>
      <c r="G747" s="309">
        <v>179777</v>
      </c>
      <c r="H747" s="368">
        <f t="shared" si="65"/>
        <v>2.5358999815329572E-4</v>
      </c>
      <c r="J747" s="1">
        <v>29350</v>
      </c>
      <c r="K747" s="309">
        <v>54784</v>
      </c>
      <c r="L747" s="309">
        <v>160790</v>
      </c>
      <c r="M747" s="368">
        <f t="shared" si="66"/>
        <v>2.2370844017635127E-4</v>
      </c>
      <c r="O747" s="1">
        <v>28500</v>
      </c>
      <c r="P747" s="309">
        <v>53596</v>
      </c>
      <c r="Q747" s="309">
        <v>152750</v>
      </c>
      <c r="R747" s="368">
        <f t="shared" si="67"/>
        <v>2.14538278960471E-4</v>
      </c>
    </row>
    <row r="748" spans="2:18" x14ac:dyDescent="0.3">
      <c r="B748" s="54" t="s">
        <v>1587</v>
      </c>
      <c r="C748" s="54" t="s">
        <v>1469</v>
      </c>
      <c r="E748" s="1">
        <v>282</v>
      </c>
      <c r="F748" s="309">
        <v>358121</v>
      </c>
      <c r="G748" s="309">
        <v>10099</v>
      </c>
      <c r="H748" s="368">
        <f t="shared" si="65"/>
        <v>3.2163505951707251E-5</v>
      </c>
      <c r="J748" s="1">
        <v>0</v>
      </c>
      <c r="K748" s="309"/>
      <c r="L748" s="309">
        <v>0</v>
      </c>
      <c r="M748" s="368">
        <f t="shared" si="66"/>
        <v>0</v>
      </c>
      <c r="O748" s="1">
        <v>0</v>
      </c>
      <c r="P748" s="309"/>
      <c r="Q748" s="309">
        <v>0</v>
      </c>
      <c r="R748" s="368">
        <f t="shared" si="67"/>
        <v>0</v>
      </c>
    </row>
    <row r="749" spans="2:18" x14ac:dyDescent="0.3">
      <c r="B749" s="54" t="s">
        <v>1587</v>
      </c>
      <c r="C749" s="54" t="s">
        <v>1470</v>
      </c>
      <c r="E749" s="1">
        <v>62</v>
      </c>
      <c r="F749" s="309">
        <v>887097</v>
      </c>
      <c r="G749" s="309">
        <v>5500</v>
      </c>
      <c r="H749" s="368">
        <f t="shared" si="65"/>
        <v>3.0397213649469535E-6</v>
      </c>
      <c r="J749" s="1"/>
      <c r="K749" s="309"/>
      <c r="L749" s="309"/>
      <c r="M749" s="368">
        <f t="shared" si="66"/>
        <v>0</v>
      </c>
      <c r="O749" s="1"/>
      <c r="P749" s="309"/>
      <c r="Q749" s="309"/>
      <c r="R749" s="368">
        <f t="shared" si="67"/>
        <v>0</v>
      </c>
    </row>
    <row r="750" spans="2:18" x14ac:dyDescent="0.3">
      <c r="B750" s="54" t="s">
        <v>1587</v>
      </c>
      <c r="C750" s="54" t="s">
        <v>26</v>
      </c>
      <c r="E750" s="1">
        <v>29019</v>
      </c>
      <c r="F750" s="309">
        <v>20542</v>
      </c>
      <c r="G750" s="309">
        <v>59610</v>
      </c>
      <c r="H750" s="368">
        <f t="shared" si="65"/>
        <v>7.7218244867300934E-5</v>
      </c>
      <c r="J750" s="1">
        <v>27030</v>
      </c>
      <c r="K750" s="309">
        <v>25938</v>
      </c>
      <c r="L750" s="309">
        <v>70110</v>
      </c>
      <c r="M750" s="368">
        <f t="shared" si="66"/>
        <v>9.5630473831852285E-5</v>
      </c>
      <c r="O750" s="1">
        <v>26440</v>
      </c>
      <c r="P750" s="309">
        <v>23298</v>
      </c>
      <c r="Q750" s="309">
        <v>61600</v>
      </c>
      <c r="R750" s="368">
        <f t="shared" si="67"/>
        <v>8.0476856415334042E-5</v>
      </c>
    </row>
    <row r="751" spans="2:18" x14ac:dyDescent="0.3">
      <c r="B751" s="54" t="s">
        <v>18</v>
      </c>
      <c r="C751" s="54" t="s">
        <v>28</v>
      </c>
      <c r="E751" s="1">
        <v>36</v>
      </c>
      <c r="F751" s="309">
        <v>47222</v>
      </c>
      <c r="G751" s="309">
        <v>170</v>
      </c>
      <c r="H751" s="368">
        <f t="shared" si="65"/>
        <v>6.0119072117148507E-7</v>
      </c>
      <c r="J751" s="1">
        <v>39</v>
      </c>
      <c r="K751" s="309">
        <v>43590</v>
      </c>
      <c r="L751" s="309">
        <v>170</v>
      </c>
      <c r="M751" s="368">
        <f t="shared" si="66"/>
        <v>5.8479525122864196E-7</v>
      </c>
      <c r="O751" s="1">
        <v>42</v>
      </c>
      <c r="P751" s="309">
        <v>40476</v>
      </c>
      <c r="Q751" s="309">
        <v>170</v>
      </c>
      <c r="R751" s="368">
        <f t="shared" si="67"/>
        <v>5.6803299619472361E-7</v>
      </c>
    </row>
    <row r="752" spans="2:18" x14ac:dyDescent="0.3">
      <c r="B752" s="54" t="s">
        <v>18</v>
      </c>
      <c r="C752" s="54" t="s">
        <v>24</v>
      </c>
      <c r="E752" s="1">
        <v>13</v>
      </c>
      <c r="F752" s="309">
        <v>35385</v>
      </c>
      <c r="G752" s="309">
        <v>46</v>
      </c>
      <c r="H752" s="368">
        <f t="shared" si="65"/>
        <v>4.0583061610253043E-8</v>
      </c>
      <c r="J752" s="1">
        <v>12</v>
      </c>
      <c r="K752" s="309">
        <v>35000</v>
      </c>
      <c r="L752" s="309">
        <v>42</v>
      </c>
      <c r="M752" s="368">
        <f t="shared" si="66"/>
        <v>3.7475564392840902E-8</v>
      </c>
      <c r="O752" s="1">
        <v>10</v>
      </c>
      <c r="P752" s="309">
        <v>38000</v>
      </c>
      <c r="Q752" s="309">
        <v>38</v>
      </c>
      <c r="R752" s="368">
        <f t="shared" si="67"/>
        <v>3.3168727558273513E-8</v>
      </c>
    </row>
    <row r="753" spans="2:18" x14ac:dyDescent="0.3">
      <c r="B753" s="54" t="s">
        <v>18</v>
      </c>
      <c r="C753" s="54" t="s">
        <v>1468</v>
      </c>
      <c r="E753" s="1">
        <v>77</v>
      </c>
      <c r="F753" s="309">
        <v>12727</v>
      </c>
      <c r="G753" s="309">
        <v>98</v>
      </c>
      <c r="H753" s="368">
        <f t="shared" si="65"/>
        <v>1.3823692585271187E-7</v>
      </c>
      <c r="J753" s="1">
        <v>62</v>
      </c>
      <c r="K753" s="309">
        <v>13871</v>
      </c>
      <c r="L753" s="309">
        <v>86</v>
      </c>
      <c r="M753" s="368">
        <f t="shared" si="66"/>
        <v>1.1965250236436476E-7</v>
      </c>
      <c r="O753" s="1">
        <v>52</v>
      </c>
      <c r="P753" s="309">
        <v>14038</v>
      </c>
      <c r="Q753" s="309">
        <v>73</v>
      </c>
      <c r="R753" s="368">
        <f t="shared" si="67"/>
        <v>1.0252893200729548E-7</v>
      </c>
    </row>
    <row r="754" spans="2:18" x14ac:dyDescent="0.3">
      <c r="B754" s="54" t="s">
        <v>18</v>
      </c>
      <c r="C754" s="54" t="s">
        <v>1470</v>
      </c>
      <c r="E754" s="1">
        <v>0</v>
      </c>
      <c r="F754" s="309"/>
      <c r="G754" s="309">
        <v>0</v>
      </c>
      <c r="H754" s="368">
        <f t="shared" si="65"/>
        <v>0</v>
      </c>
      <c r="J754" s="1">
        <v>0</v>
      </c>
      <c r="K754" s="309"/>
      <c r="L754" s="309">
        <v>0</v>
      </c>
      <c r="M754" s="368">
        <f t="shared" si="66"/>
        <v>0</v>
      </c>
      <c r="O754" s="1">
        <v>0</v>
      </c>
      <c r="P754" s="309"/>
      <c r="Q754" s="309">
        <v>0</v>
      </c>
      <c r="R754" s="368">
        <f t="shared" si="67"/>
        <v>0</v>
      </c>
    </row>
    <row r="755" spans="2:18" x14ac:dyDescent="0.3">
      <c r="B755" s="54" t="s">
        <v>1588</v>
      </c>
      <c r="C755" s="54" t="s">
        <v>28</v>
      </c>
      <c r="E755" s="1">
        <v>0</v>
      </c>
      <c r="F755" s="309"/>
      <c r="G755" s="309">
        <v>0</v>
      </c>
      <c r="H755" s="368">
        <f t="shared" si="65"/>
        <v>0</v>
      </c>
      <c r="J755" s="1">
        <v>0</v>
      </c>
      <c r="K755" s="309"/>
      <c r="L755" s="309">
        <v>0</v>
      </c>
      <c r="M755" s="368">
        <f t="shared" si="66"/>
        <v>0</v>
      </c>
      <c r="O755" s="1">
        <v>0</v>
      </c>
      <c r="P755" s="309"/>
      <c r="Q755" s="309">
        <v>0</v>
      </c>
      <c r="R755" s="368">
        <f t="shared" si="67"/>
        <v>0</v>
      </c>
    </row>
    <row r="756" spans="2:18" x14ac:dyDescent="0.3">
      <c r="B756" s="54" t="s">
        <v>1588</v>
      </c>
      <c r="C756" s="54" t="s">
        <v>24</v>
      </c>
      <c r="E756" s="1">
        <v>51</v>
      </c>
      <c r="F756" s="309">
        <v>126471</v>
      </c>
      <c r="G756" s="309">
        <v>645</v>
      </c>
      <c r="H756" s="368">
        <f t="shared" si="65"/>
        <v>5.6904510301333071E-7</v>
      </c>
      <c r="J756" s="1">
        <v>149</v>
      </c>
      <c r="K756" s="309">
        <v>125235</v>
      </c>
      <c r="L756" s="309">
        <v>1866</v>
      </c>
      <c r="M756" s="368">
        <f t="shared" si="66"/>
        <v>1.6649857894533602E-6</v>
      </c>
      <c r="O756" s="1">
        <v>50</v>
      </c>
      <c r="P756" s="309">
        <v>123800</v>
      </c>
      <c r="Q756" s="309">
        <v>619</v>
      </c>
      <c r="R756" s="368">
        <f t="shared" si="67"/>
        <v>5.4030111469924492E-7</v>
      </c>
    </row>
    <row r="757" spans="2:18" x14ac:dyDescent="0.3">
      <c r="B757" s="54" t="s">
        <v>1588</v>
      </c>
      <c r="C757" s="54" t="s">
        <v>25</v>
      </c>
      <c r="E757" s="1">
        <v>10</v>
      </c>
      <c r="F757" s="309">
        <v>104000</v>
      </c>
      <c r="G757" s="309">
        <v>104</v>
      </c>
      <c r="H757" s="368">
        <f t="shared" si="65"/>
        <v>2.8145119929698254E-7</v>
      </c>
      <c r="J757" s="1">
        <v>2</v>
      </c>
      <c r="K757" s="309">
        <v>85000</v>
      </c>
      <c r="L757" s="309">
        <v>17</v>
      </c>
      <c r="M757" s="368">
        <f t="shared" si="66"/>
        <v>4.6615944059024426E-8</v>
      </c>
      <c r="O757" s="1">
        <v>9</v>
      </c>
      <c r="P757" s="309">
        <v>96667</v>
      </c>
      <c r="Q757" s="309">
        <v>87</v>
      </c>
      <c r="R757" s="368">
        <f t="shared" si="67"/>
        <v>2.352516209289609E-7</v>
      </c>
    </row>
    <row r="758" spans="2:18" x14ac:dyDescent="0.3">
      <c r="B758" s="54" t="s">
        <v>1588</v>
      </c>
      <c r="C758" s="54" t="s">
        <v>26</v>
      </c>
      <c r="E758" s="1">
        <v>7</v>
      </c>
      <c r="F758" s="309">
        <v>22857</v>
      </c>
      <c r="G758" s="309">
        <v>16</v>
      </c>
      <c r="H758" s="368">
        <f t="shared" si="65"/>
        <v>2.0726252606556198E-8</v>
      </c>
      <c r="J758" s="1">
        <v>6</v>
      </c>
      <c r="K758" s="309">
        <v>25000</v>
      </c>
      <c r="L758" s="309">
        <v>15</v>
      </c>
      <c r="M758" s="368">
        <f t="shared" si="66"/>
        <v>2.0460092818111314E-8</v>
      </c>
      <c r="O758" s="1">
        <v>1</v>
      </c>
      <c r="P758" s="309">
        <v>10000</v>
      </c>
      <c r="Q758" s="309">
        <v>1</v>
      </c>
      <c r="R758" s="368">
        <f t="shared" si="67"/>
        <v>1.3064424742749032E-9</v>
      </c>
    </row>
    <row r="759" spans="2:18" x14ac:dyDescent="0.3">
      <c r="B759" s="54" t="s">
        <v>1589</v>
      </c>
      <c r="C759" s="54" t="s">
        <v>24</v>
      </c>
      <c r="E759" s="1">
        <v>15074</v>
      </c>
      <c r="F759" s="309">
        <v>48154</v>
      </c>
      <c r="G759" s="309">
        <v>72587</v>
      </c>
      <c r="H759" s="368">
        <f t="shared" si="65"/>
        <v>6.4039188980509519E-5</v>
      </c>
      <c r="J759" s="1">
        <v>15472</v>
      </c>
      <c r="K759" s="309">
        <v>50421</v>
      </c>
      <c r="L759" s="309">
        <v>78012</v>
      </c>
      <c r="M759" s="368">
        <f t="shared" si="66"/>
        <v>6.9608184033673908E-5</v>
      </c>
      <c r="O759" s="1">
        <v>15000</v>
      </c>
      <c r="P759" s="309">
        <v>50667</v>
      </c>
      <c r="Q759" s="309">
        <v>76000</v>
      </c>
      <c r="R759" s="368">
        <f t="shared" si="67"/>
        <v>6.6337455116547027E-5</v>
      </c>
    </row>
    <row r="760" spans="2:18" x14ac:dyDescent="0.3">
      <c r="B760" s="54" t="s">
        <v>1589</v>
      </c>
      <c r="C760" s="54" t="s">
        <v>25</v>
      </c>
      <c r="E760" s="1">
        <v>20974</v>
      </c>
      <c r="F760" s="309">
        <v>222540</v>
      </c>
      <c r="G760" s="309">
        <v>466755</v>
      </c>
      <c r="H760" s="368">
        <f t="shared" si="65"/>
        <v>1.2631611012294526E-3</v>
      </c>
      <c r="J760" s="1">
        <v>23402</v>
      </c>
      <c r="K760" s="309">
        <v>234196</v>
      </c>
      <c r="L760" s="309">
        <v>548065</v>
      </c>
      <c r="M760" s="368">
        <f t="shared" si="66"/>
        <v>1.5028569047476014E-3</v>
      </c>
      <c r="O760" s="1">
        <v>21994</v>
      </c>
      <c r="P760" s="309">
        <v>286505</v>
      </c>
      <c r="Q760" s="309">
        <v>630140</v>
      </c>
      <c r="R760" s="368">
        <f t="shared" si="67"/>
        <v>1.7039247863468439E-3</v>
      </c>
    </row>
    <row r="761" spans="2:18" x14ac:dyDescent="0.3">
      <c r="B761" s="54" t="s">
        <v>1589</v>
      </c>
      <c r="C761" s="54" t="s">
        <v>1468</v>
      </c>
      <c r="E761" s="1">
        <v>754713</v>
      </c>
      <c r="F761" s="309">
        <v>70034</v>
      </c>
      <c r="G761" s="309">
        <v>5285551</v>
      </c>
      <c r="H761" s="368">
        <f t="shared" si="65"/>
        <v>7.4556971599768068E-3</v>
      </c>
      <c r="J761" s="1">
        <v>737673</v>
      </c>
      <c r="K761" s="309">
        <v>70430</v>
      </c>
      <c r="L761" s="309">
        <v>5195437</v>
      </c>
      <c r="M761" s="368">
        <f t="shared" si="66"/>
        <v>7.2284539293768386E-3</v>
      </c>
      <c r="O761" s="1">
        <v>729814</v>
      </c>
      <c r="P761" s="309">
        <v>68731</v>
      </c>
      <c r="Q761" s="309">
        <v>5016083</v>
      </c>
      <c r="R761" s="368">
        <f t="shared" si="67"/>
        <v>7.0451182582185025E-3</v>
      </c>
    </row>
    <row r="762" spans="2:18" x14ac:dyDescent="0.3">
      <c r="B762" s="54" t="s">
        <v>1589</v>
      </c>
      <c r="C762" s="54" t="s">
        <v>27</v>
      </c>
      <c r="E762" s="1">
        <v>45556</v>
      </c>
      <c r="F762" s="309">
        <v>18800</v>
      </c>
      <c r="G762" s="309">
        <v>85644</v>
      </c>
      <c r="H762" s="368">
        <f t="shared" si="65"/>
        <v>2.3853435627930287E-4</v>
      </c>
      <c r="J762" s="1">
        <v>50638</v>
      </c>
      <c r="K762" s="309">
        <v>17657</v>
      </c>
      <c r="L762" s="309">
        <v>89410</v>
      </c>
      <c r="M762" s="368">
        <f t="shared" si="66"/>
        <v>2.5977048555612909E-4</v>
      </c>
      <c r="O762" s="1">
        <v>58537</v>
      </c>
      <c r="P762" s="309">
        <v>17995</v>
      </c>
      <c r="Q762" s="309">
        <v>105340</v>
      </c>
      <c r="R762" s="368">
        <f t="shared" si="67"/>
        <v>3.1607597515874474E-4</v>
      </c>
    </row>
    <row r="763" spans="2:18" x14ac:dyDescent="0.3">
      <c r="B763" s="54" t="s">
        <v>1589</v>
      </c>
      <c r="C763" s="54" t="s">
        <v>26</v>
      </c>
      <c r="E763" s="1">
        <v>9283</v>
      </c>
      <c r="F763" s="309">
        <v>40316</v>
      </c>
      <c r="G763" s="309">
        <v>37425</v>
      </c>
      <c r="H763" s="368">
        <f t="shared" si="65"/>
        <v>4.8480000237522855E-5</v>
      </c>
      <c r="J763" s="1">
        <v>6600</v>
      </c>
      <c r="K763" s="309">
        <v>39073</v>
      </c>
      <c r="L763" s="309">
        <v>25788</v>
      </c>
      <c r="M763" s="368">
        <f t="shared" si="66"/>
        <v>3.5174991572896971E-5</v>
      </c>
      <c r="O763" s="1">
        <v>4000</v>
      </c>
      <c r="P763" s="309">
        <v>37500</v>
      </c>
      <c r="Q763" s="309">
        <v>15000</v>
      </c>
      <c r="R763" s="368">
        <f t="shared" si="67"/>
        <v>1.959663711412355E-5</v>
      </c>
    </row>
    <row r="764" spans="2:18" x14ac:dyDescent="0.3">
      <c r="B764" s="54" t="s">
        <v>1590</v>
      </c>
      <c r="C764" s="54" t="s">
        <v>24</v>
      </c>
      <c r="E764" s="1">
        <v>479581</v>
      </c>
      <c r="F764" s="309">
        <v>36960</v>
      </c>
      <c r="G764" s="309">
        <v>1772525</v>
      </c>
      <c r="H764" s="368">
        <f t="shared" si="65"/>
        <v>1.5637932887111691E-3</v>
      </c>
      <c r="J764" s="1">
        <v>489125</v>
      </c>
      <c r="K764" s="309">
        <v>42398</v>
      </c>
      <c r="L764" s="309">
        <v>2073775</v>
      </c>
      <c r="M764" s="368">
        <f t="shared" si="66"/>
        <v>1.8503782987800868E-3</v>
      </c>
      <c r="O764" s="1">
        <v>492405</v>
      </c>
      <c r="P764" s="309">
        <v>43255</v>
      </c>
      <c r="Q764" s="309">
        <v>2129889</v>
      </c>
      <c r="R764" s="368">
        <f t="shared" si="67"/>
        <v>1.8590975781674637E-3</v>
      </c>
    </row>
    <row r="765" spans="2:18" x14ac:dyDescent="0.3">
      <c r="B765" s="54" t="s">
        <v>1590</v>
      </c>
      <c r="C765" s="54" t="s">
        <v>25</v>
      </c>
      <c r="E765" s="1">
        <v>19701</v>
      </c>
      <c r="F765" s="309">
        <v>100005</v>
      </c>
      <c r="G765" s="309">
        <v>197020</v>
      </c>
      <c r="H765" s="368">
        <f t="shared" si="65"/>
        <v>5.3318764697587984E-4</v>
      </c>
      <c r="J765" s="1">
        <v>18946</v>
      </c>
      <c r="K765" s="309">
        <v>92248</v>
      </c>
      <c r="L765" s="309">
        <v>174774</v>
      </c>
      <c r="M765" s="368">
        <f t="shared" si="66"/>
        <v>4.7925029452776093E-4</v>
      </c>
      <c r="O765" s="1">
        <v>18099</v>
      </c>
      <c r="P765" s="309">
        <v>97713</v>
      </c>
      <c r="Q765" s="309">
        <v>176850</v>
      </c>
      <c r="R765" s="368">
        <f t="shared" si="67"/>
        <v>4.7820976047456017E-4</v>
      </c>
    </row>
    <row r="766" spans="2:18" x14ac:dyDescent="0.3">
      <c r="B766" s="54" t="s">
        <v>1590</v>
      </c>
      <c r="C766" s="54" t="s">
        <v>1468</v>
      </c>
      <c r="E766" s="1">
        <v>0</v>
      </c>
      <c r="F766" s="309"/>
      <c r="G766" s="309">
        <v>0</v>
      </c>
      <c r="H766" s="368">
        <f t="shared" si="65"/>
        <v>0</v>
      </c>
      <c r="J766" s="1">
        <v>0</v>
      </c>
      <c r="K766" s="309"/>
      <c r="L766" s="309">
        <v>0</v>
      </c>
      <c r="M766" s="368">
        <f t="shared" si="66"/>
        <v>0</v>
      </c>
      <c r="O766" s="1">
        <v>0</v>
      </c>
      <c r="P766" s="309"/>
      <c r="Q766" s="309">
        <v>0</v>
      </c>
      <c r="R766" s="368">
        <f t="shared" si="67"/>
        <v>0</v>
      </c>
    </row>
    <row r="767" spans="2:18" x14ac:dyDescent="0.3">
      <c r="B767" s="54" t="s">
        <v>1590</v>
      </c>
      <c r="C767" s="54" t="s">
        <v>27</v>
      </c>
      <c r="E767" s="1">
        <v>33295</v>
      </c>
      <c r="F767" s="309">
        <v>13973</v>
      </c>
      <c r="G767" s="309">
        <v>46524</v>
      </c>
      <c r="H767" s="368">
        <f t="shared" si="65"/>
        <v>1.2957793180536041E-4</v>
      </c>
      <c r="J767" s="1">
        <v>27150</v>
      </c>
      <c r="K767" s="309">
        <v>21246</v>
      </c>
      <c r="L767" s="309">
        <v>57684</v>
      </c>
      <c r="M767" s="368">
        <f t="shared" si="66"/>
        <v>1.6759423653752098E-4</v>
      </c>
      <c r="O767" s="1">
        <v>37076</v>
      </c>
      <c r="P767" s="309">
        <v>17326</v>
      </c>
      <c r="Q767" s="309">
        <v>64239</v>
      </c>
      <c r="R767" s="368">
        <f t="shared" si="67"/>
        <v>1.9275113506951399E-4</v>
      </c>
    </row>
    <row r="768" spans="2:18" x14ac:dyDescent="0.3">
      <c r="B768" s="54" t="s">
        <v>1590</v>
      </c>
      <c r="C768" s="54" t="s">
        <v>1469</v>
      </c>
      <c r="E768" s="1">
        <v>23550</v>
      </c>
      <c r="F768" s="309">
        <v>372092</v>
      </c>
      <c r="G768" s="309">
        <v>876277</v>
      </c>
      <c r="H768" s="368">
        <f t="shared" si="65"/>
        <v>2.7907852762495467E-3</v>
      </c>
      <c r="J768" s="1">
        <v>18962</v>
      </c>
      <c r="K768" s="309">
        <v>372923</v>
      </c>
      <c r="L768" s="309">
        <v>707137</v>
      </c>
      <c r="M768" s="368">
        <f t="shared" si="66"/>
        <v>2.5835098136980619E-3</v>
      </c>
      <c r="O768" s="1">
        <v>15164</v>
      </c>
      <c r="P768" s="309">
        <v>400286</v>
      </c>
      <c r="Q768" s="309">
        <v>606994</v>
      </c>
      <c r="R768" s="368">
        <f t="shared" si="67"/>
        <v>2.1795274780808103E-3</v>
      </c>
    </row>
    <row r="769" spans="2:18" x14ac:dyDescent="0.3">
      <c r="B769" s="54" t="s">
        <v>1590</v>
      </c>
      <c r="C769" s="54" t="s">
        <v>26</v>
      </c>
      <c r="E769" s="1">
        <v>335232</v>
      </c>
      <c r="F769" s="309">
        <v>37309</v>
      </c>
      <c r="G769" s="309">
        <v>1250702</v>
      </c>
      <c r="H769" s="368">
        <f t="shared" si="65"/>
        <v>1.6201478492203155E-3</v>
      </c>
      <c r="J769" s="1">
        <v>372076</v>
      </c>
      <c r="K769" s="309">
        <v>31251</v>
      </c>
      <c r="L769" s="309">
        <v>1162778</v>
      </c>
      <c r="M769" s="368">
        <f t="shared" si="66"/>
        <v>1.5860363871238558E-3</v>
      </c>
      <c r="O769" s="1">
        <v>352033</v>
      </c>
      <c r="P769" s="309">
        <v>32596</v>
      </c>
      <c r="Q769" s="309">
        <v>1147482</v>
      </c>
      <c r="R769" s="368">
        <f t="shared" si="67"/>
        <v>1.4991192232659146E-3</v>
      </c>
    </row>
    <row r="770" spans="2:18" x14ac:dyDescent="0.3">
      <c r="B770" s="54" t="s">
        <v>1591</v>
      </c>
      <c r="C770" s="54" t="s">
        <v>24</v>
      </c>
      <c r="E770" s="1">
        <v>2403298</v>
      </c>
      <c r="F770" s="309">
        <v>59610</v>
      </c>
      <c r="G770" s="309">
        <v>14326097</v>
      </c>
      <c r="H770" s="368">
        <f t="shared" si="65"/>
        <v>1.2639062547510028E-2</v>
      </c>
      <c r="J770" s="1">
        <v>2443950</v>
      </c>
      <c r="K770" s="309">
        <v>76368</v>
      </c>
      <c r="L770" s="309">
        <v>18663940</v>
      </c>
      <c r="M770" s="368">
        <f t="shared" si="66"/>
        <v>1.6653373459383787E-2</v>
      </c>
      <c r="O770" s="1">
        <v>2681930</v>
      </c>
      <c r="P770" s="309">
        <v>64999</v>
      </c>
      <c r="Q770" s="309">
        <v>17432220</v>
      </c>
      <c r="R770" s="368">
        <f t="shared" si="67"/>
        <v>1.5215909366207547E-2</v>
      </c>
    </row>
    <row r="771" spans="2:18" x14ac:dyDescent="0.3">
      <c r="B771" s="54" t="s">
        <v>1591</v>
      </c>
      <c r="C771" s="54" t="s">
        <v>25</v>
      </c>
      <c r="E771" s="1">
        <v>171379</v>
      </c>
      <c r="F771" s="309">
        <v>181872</v>
      </c>
      <c r="G771" s="309">
        <v>3116912</v>
      </c>
      <c r="H771" s="368">
        <f t="shared" ref="H771:H834" si="68">G771/(VLOOKUP($C771,$W$5:$Z$13,2,FALSE)*10^6)</f>
        <v>8.4351790432995802E-3</v>
      </c>
      <c r="J771" s="1">
        <v>173300</v>
      </c>
      <c r="K771" s="309">
        <v>174424</v>
      </c>
      <c r="L771" s="309">
        <v>3022760</v>
      </c>
      <c r="M771" s="368">
        <f t="shared" ref="M771:M834" si="69">L771/(VLOOKUP($C771,$W$5:$Z$13,3,FALSE)*10^6)</f>
        <v>8.2887535919915697E-3</v>
      </c>
      <c r="O771" s="1">
        <v>174120</v>
      </c>
      <c r="P771" s="309">
        <v>150861</v>
      </c>
      <c r="Q771" s="309">
        <v>2626790</v>
      </c>
      <c r="R771" s="368">
        <f t="shared" ref="R771:R834" si="70">Q771/(VLOOKUP($C771,$W$5:$Z$13,4,FALSE)*10^6)</f>
        <v>7.1029494866664969E-3</v>
      </c>
    </row>
    <row r="772" spans="2:18" x14ac:dyDescent="0.3">
      <c r="B772" s="54" t="s">
        <v>1591</v>
      </c>
      <c r="C772" s="54" t="s">
        <v>1468</v>
      </c>
      <c r="E772" s="1">
        <v>9125</v>
      </c>
      <c r="F772" s="309">
        <v>47464</v>
      </c>
      <c r="G772" s="309">
        <v>43311</v>
      </c>
      <c r="H772" s="368">
        <f t="shared" si="68"/>
        <v>6.10936683225184E-5</v>
      </c>
      <c r="J772" s="1">
        <v>8250</v>
      </c>
      <c r="K772" s="309">
        <v>51952</v>
      </c>
      <c r="L772" s="309">
        <v>42860</v>
      </c>
      <c r="M772" s="368">
        <f t="shared" si="69"/>
        <v>5.9631468038798526E-5</v>
      </c>
      <c r="O772" s="1">
        <v>7430</v>
      </c>
      <c r="P772" s="309">
        <v>53203</v>
      </c>
      <c r="Q772" s="309">
        <v>39530</v>
      </c>
      <c r="R772" s="368">
        <f t="shared" si="70"/>
        <v>5.5520118934909451E-5</v>
      </c>
    </row>
    <row r="773" spans="2:18" x14ac:dyDescent="0.3">
      <c r="B773" s="54" t="s">
        <v>1591</v>
      </c>
      <c r="C773" s="54" t="s">
        <v>27</v>
      </c>
      <c r="E773" s="1">
        <v>164624</v>
      </c>
      <c r="F773" s="309">
        <v>23903</v>
      </c>
      <c r="G773" s="309">
        <v>393495</v>
      </c>
      <c r="H773" s="368">
        <f t="shared" si="68"/>
        <v>1.0959562435678423E-3</v>
      </c>
      <c r="J773" s="1">
        <v>169420</v>
      </c>
      <c r="K773" s="309">
        <v>29080</v>
      </c>
      <c r="L773" s="309">
        <v>492680</v>
      </c>
      <c r="M773" s="368">
        <f t="shared" si="69"/>
        <v>1.4314251518151625E-3</v>
      </c>
      <c r="O773" s="1">
        <v>158150</v>
      </c>
      <c r="P773" s="309">
        <v>27829</v>
      </c>
      <c r="Q773" s="309">
        <v>440120</v>
      </c>
      <c r="R773" s="368">
        <f t="shared" si="70"/>
        <v>1.3205938692506811E-3</v>
      </c>
    </row>
    <row r="774" spans="2:18" x14ac:dyDescent="0.3">
      <c r="B774" s="54" t="s">
        <v>1591</v>
      </c>
      <c r="C774" s="54" t="s">
        <v>1469</v>
      </c>
      <c r="E774" s="1">
        <v>28099</v>
      </c>
      <c r="F774" s="309">
        <v>417987</v>
      </c>
      <c r="G774" s="309">
        <v>1174502</v>
      </c>
      <c r="H774" s="368">
        <f t="shared" si="68"/>
        <v>3.7405784797793907E-3</v>
      </c>
      <c r="J774" s="1">
        <v>25720</v>
      </c>
      <c r="K774" s="309">
        <v>380354</v>
      </c>
      <c r="L774" s="309">
        <v>978270</v>
      </c>
      <c r="M774" s="368">
        <f t="shared" si="69"/>
        <v>3.5740883951008123E-3</v>
      </c>
      <c r="O774" s="1">
        <v>22730</v>
      </c>
      <c r="P774" s="309">
        <v>403502</v>
      </c>
      <c r="Q774" s="309">
        <v>917160</v>
      </c>
      <c r="R774" s="368">
        <f t="shared" si="70"/>
        <v>3.2932375308431321E-3</v>
      </c>
    </row>
    <row r="775" spans="2:18" x14ac:dyDescent="0.3">
      <c r="B775" s="54" t="s">
        <v>1591</v>
      </c>
      <c r="C775" s="54" t="s">
        <v>26</v>
      </c>
      <c r="E775" s="1">
        <v>2051664</v>
      </c>
      <c r="F775" s="309">
        <v>48911</v>
      </c>
      <c r="G775" s="309">
        <v>10034955</v>
      </c>
      <c r="H775" s="368">
        <f t="shared" si="68"/>
        <v>1.2999188264089009E-2</v>
      </c>
      <c r="J775" s="1">
        <v>2116150</v>
      </c>
      <c r="K775" s="309">
        <v>47935</v>
      </c>
      <c r="L775" s="309">
        <v>10143670</v>
      </c>
      <c r="M775" s="368">
        <f t="shared" si="69"/>
        <v>1.3836028647752746E-2</v>
      </c>
      <c r="O775" s="1">
        <v>2168370</v>
      </c>
      <c r="P775" s="309">
        <v>47488</v>
      </c>
      <c r="Q775" s="309">
        <v>10297110</v>
      </c>
      <c r="R775" s="368">
        <f t="shared" si="70"/>
        <v>1.3452581866280849E-2</v>
      </c>
    </row>
    <row r="776" spans="2:18" x14ac:dyDescent="0.3">
      <c r="B776" s="54" t="s">
        <v>1592</v>
      </c>
      <c r="C776" s="54" t="s">
        <v>24</v>
      </c>
      <c r="E776" s="1">
        <v>2702425</v>
      </c>
      <c r="F776" s="309">
        <v>48875</v>
      </c>
      <c r="G776" s="309">
        <v>13208095</v>
      </c>
      <c r="H776" s="368">
        <f t="shared" si="68"/>
        <v>1.1652715937805981E-2</v>
      </c>
      <c r="J776" s="1">
        <v>2375641</v>
      </c>
      <c r="K776" s="309">
        <v>48067</v>
      </c>
      <c r="L776" s="309">
        <v>11419020</v>
      </c>
      <c r="M776" s="368">
        <f t="shared" si="69"/>
        <v>1.0188909983646145E-2</v>
      </c>
      <c r="O776" s="1">
        <v>2506247</v>
      </c>
      <c r="P776" s="309">
        <v>56987</v>
      </c>
      <c r="Q776" s="309">
        <v>14282352</v>
      </c>
      <c r="R776" s="368">
        <f t="shared" si="70"/>
        <v>1.2466511641562181E-2</v>
      </c>
    </row>
    <row r="777" spans="2:18" x14ac:dyDescent="0.3">
      <c r="B777" s="54" t="s">
        <v>1592</v>
      </c>
      <c r="C777" s="54" t="s">
        <v>25</v>
      </c>
      <c r="E777" s="1">
        <v>1335560</v>
      </c>
      <c r="F777" s="309">
        <v>162536</v>
      </c>
      <c r="G777" s="309">
        <v>21707645</v>
      </c>
      <c r="H777" s="368">
        <f t="shared" si="68"/>
        <v>5.8746564607337945E-2</v>
      </c>
      <c r="J777" s="1">
        <v>1313495</v>
      </c>
      <c r="K777" s="309">
        <v>170499</v>
      </c>
      <c r="L777" s="309">
        <v>22394960</v>
      </c>
      <c r="M777" s="368">
        <f t="shared" si="69"/>
        <v>6.1409541327299394E-2</v>
      </c>
      <c r="O777" s="1">
        <v>1238575</v>
      </c>
      <c r="P777" s="309">
        <v>178228</v>
      </c>
      <c r="Q777" s="309">
        <v>22074874</v>
      </c>
      <c r="R777" s="368">
        <f t="shared" si="70"/>
        <v>5.9691378049454881E-2</v>
      </c>
    </row>
    <row r="778" spans="2:18" x14ac:dyDescent="0.3">
      <c r="B778" s="54" t="s">
        <v>1592</v>
      </c>
      <c r="C778" s="54" t="s">
        <v>1468</v>
      </c>
      <c r="E778" s="1">
        <v>185649</v>
      </c>
      <c r="F778" s="309">
        <v>53144</v>
      </c>
      <c r="G778" s="309">
        <v>986620</v>
      </c>
      <c r="H778" s="368">
        <f t="shared" si="68"/>
        <v>1.3917073039265569E-3</v>
      </c>
      <c r="J778" s="1">
        <v>180177</v>
      </c>
      <c r="K778" s="309">
        <v>57622</v>
      </c>
      <c r="L778" s="309">
        <v>1038222</v>
      </c>
      <c r="M778" s="368">
        <f t="shared" si="69"/>
        <v>1.444486747787622E-3</v>
      </c>
      <c r="O778" s="1">
        <v>190691</v>
      </c>
      <c r="P778" s="309">
        <v>57615</v>
      </c>
      <c r="Q778" s="309">
        <v>1098660</v>
      </c>
      <c r="R778" s="368">
        <f t="shared" si="70"/>
        <v>1.5430744717689761E-3</v>
      </c>
    </row>
    <row r="779" spans="2:18" x14ac:dyDescent="0.3">
      <c r="B779" s="54" t="s">
        <v>1592</v>
      </c>
      <c r="C779" s="54" t="s">
        <v>27</v>
      </c>
      <c r="E779" s="1">
        <v>2573286</v>
      </c>
      <c r="F779" s="309">
        <v>14074</v>
      </c>
      <c r="G779" s="309">
        <v>3621712</v>
      </c>
      <c r="H779" s="368">
        <f t="shared" si="68"/>
        <v>1.0087136758547319E-2</v>
      </c>
      <c r="J779" s="1">
        <v>2740850</v>
      </c>
      <c r="K779" s="309">
        <v>14692</v>
      </c>
      <c r="L779" s="309">
        <v>4026850</v>
      </c>
      <c r="M779" s="368">
        <f t="shared" si="69"/>
        <v>1.1699550159508985E-2</v>
      </c>
      <c r="O779" s="1">
        <v>2772198</v>
      </c>
      <c r="P779" s="309">
        <v>15727</v>
      </c>
      <c r="Q779" s="309">
        <v>4359956</v>
      </c>
      <c r="R779" s="368">
        <f t="shared" si="70"/>
        <v>1.3082184776430797E-2</v>
      </c>
    </row>
    <row r="780" spans="2:18" x14ac:dyDescent="0.3">
      <c r="B780" s="54" t="s">
        <v>1592</v>
      </c>
      <c r="C780" s="54" t="s">
        <v>1469</v>
      </c>
      <c r="E780" s="1">
        <v>1174719</v>
      </c>
      <c r="F780" s="309">
        <v>441922</v>
      </c>
      <c r="G780" s="309">
        <v>51913442</v>
      </c>
      <c r="H780" s="368">
        <f t="shared" si="68"/>
        <v>0.16533501344099505</v>
      </c>
      <c r="J780" s="1">
        <v>1105339</v>
      </c>
      <c r="K780" s="309">
        <v>380571</v>
      </c>
      <c r="L780" s="309">
        <v>42065957</v>
      </c>
      <c r="M780" s="368">
        <f t="shared" si="69"/>
        <v>0.15368706874636837</v>
      </c>
      <c r="O780" s="1">
        <v>1133253</v>
      </c>
      <c r="P780" s="309">
        <v>479594</v>
      </c>
      <c r="Q780" s="309">
        <v>54350115</v>
      </c>
      <c r="R780" s="368">
        <f t="shared" si="70"/>
        <v>0.19515443164076091</v>
      </c>
    </row>
    <row r="781" spans="2:18" x14ac:dyDescent="0.3">
      <c r="B781" s="54" t="s">
        <v>1592</v>
      </c>
      <c r="C781" s="54" t="s">
        <v>1470</v>
      </c>
      <c r="E781" s="1">
        <v>0</v>
      </c>
      <c r="F781" s="309"/>
      <c r="G781" s="309">
        <v>0</v>
      </c>
      <c r="H781" s="368">
        <f t="shared" si="68"/>
        <v>0</v>
      </c>
      <c r="J781" s="1">
        <v>0</v>
      </c>
      <c r="K781" s="309"/>
      <c r="L781" s="309">
        <v>0</v>
      </c>
      <c r="M781" s="368">
        <f t="shared" si="69"/>
        <v>0</v>
      </c>
      <c r="O781" s="1">
        <v>0</v>
      </c>
      <c r="P781" s="309"/>
      <c r="Q781" s="309">
        <v>0</v>
      </c>
      <c r="R781" s="368">
        <f t="shared" si="70"/>
        <v>0</v>
      </c>
    </row>
    <row r="782" spans="2:18" x14ac:dyDescent="0.3">
      <c r="B782" s="54" t="s">
        <v>1592</v>
      </c>
      <c r="C782" s="54" t="s">
        <v>26</v>
      </c>
      <c r="E782" s="1">
        <v>27517354</v>
      </c>
      <c r="F782" s="309">
        <v>31254</v>
      </c>
      <c r="G782" s="309">
        <v>86002542</v>
      </c>
      <c r="H782" s="368">
        <f t="shared" si="68"/>
        <v>0.11140690064362242</v>
      </c>
      <c r="J782" s="1">
        <v>26472051</v>
      </c>
      <c r="K782" s="309">
        <v>27250</v>
      </c>
      <c r="L782" s="309">
        <v>72136149</v>
      </c>
      <c r="M782" s="368">
        <f t="shared" si="69"/>
        <v>9.8394153605407167E-2</v>
      </c>
      <c r="O782" s="1">
        <v>27558617</v>
      </c>
      <c r="P782" s="309">
        <v>27016</v>
      </c>
      <c r="Q782" s="309">
        <v>74452692</v>
      </c>
      <c r="R782" s="368">
        <f t="shared" si="70"/>
        <v>9.7268159152907305E-2</v>
      </c>
    </row>
    <row r="783" spans="2:18" x14ac:dyDescent="0.3">
      <c r="B783" s="54" t="s">
        <v>1593</v>
      </c>
      <c r="C783" s="54" t="s">
        <v>28</v>
      </c>
      <c r="E783" s="1">
        <v>120000</v>
      </c>
      <c r="F783" s="309">
        <v>86832</v>
      </c>
      <c r="G783" s="309">
        <v>1041986</v>
      </c>
      <c r="H783" s="368">
        <f t="shared" si="68"/>
        <v>3.6848959693564177E-3</v>
      </c>
      <c r="J783" s="1">
        <v>194717</v>
      </c>
      <c r="K783" s="309">
        <v>53505</v>
      </c>
      <c r="L783" s="309">
        <v>1041843</v>
      </c>
      <c r="M783" s="368">
        <f t="shared" si="69"/>
        <v>3.5839108172106E-3</v>
      </c>
      <c r="O783" s="1">
        <v>195135</v>
      </c>
      <c r="P783" s="309">
        <v>60564</v>
      </c>
      <c r="Q783" s="309">
        <v>1181825</v>
      </c>
      <c r="R783" s="368">
        <f t="shared" si="70"/>
        <v>3.9489152689872308E-3</v>
      </c>
    </row>
    <row r="784" spans="2:18" x14ac:dyDescent="0.3">
      <c r="B784" s="54" t="s">
        <v>1593</v>
      </c>
      <c r="C784" s="54" t="s">
        <v>24</v>
      </c>
      <c r="E784" s="1">
        <v>297447</v>
      </c>
      <c r="F784" s="309">
        <v>12050</v>
      </c>
      <c r="G784" s="309">
        <v>358417</v>
      </c>
      <c r="H784" s="368">
        <f t="shared" si="68"/>
        <v>3.1620998246004487E-4</v>
      </c>
      <c r="J784" s="1">
        <v>295739</v>
      </c>
      <c r="K784" s="309">
        <v>13873</v>
      </c>
      <c r="L784" s="309">
        <v>410280</v>
      </c>
      <c r="M784" s="368">
        <f t="shared" si="69"/>
        <v>3.660827275974944E-4</v>
      </c>
      <c r="O784" s="1">
        <v>288298</v>
      </c>
      <c r="P784" s="309">
        <v>14611</v>
      </c>
      <c r="Q784" s="309">
        <v>421218</v>
      </c>
      <c r="R784" s="368">
        <f t="shared" si="70"/>
        <v>3.676648706484435E-4</v>
      </c>
    </row>
    <row r="785" spans="2:18" x14ac:dyDescent="0.3">
      <c r="B785" s="54" t="s">
        <v>1593</v>
      </c>
      <c r="C785" s="54" t="s">
        <v>25</v>
      </c>
      <c r="E785" s="1">
        <v>93991</v>
      </c>
      <c r="F785" s="309">
        <v>90028</v>
      </c>
      <c r="G785" s="309">
        <v>846184</v>
      </c>
      <c r="H785" s="368">
        <f t="shared" si="68"/>
        <v>2.2899952079415181E-3</v>
      </c>
      <c r="J785" s="1">
        <v>92800</v>
      </c>
      <c r="K785" s="309">
        <v>91304</v>
      </c>
      <c r="L785" s="309">
        <v>847302</v>
      </c>
      <c r="M785" s="368">
        <f t="shared" si="69"/>
        <v>2.3233989784176186E-3</v>
      </c>
      <c r="O785" s="1">
        <v>107590</v>
      </c>
      <c r="P785" s="309">
        <v>90474</v>
      </c>
      <c r="Q785" s="309">
        <v>973408</v>
      </c>
      <c r="R785" s="368">
        <f t="shared" si="70"/>
        <v>2.6321357451174481E-3</v>
      </c>
    </row>
    <row r="786" spans="2:18" x14ac:dyDescent="0.3">
      <c r="B786" s="54" t="s">
        <v>1593</v>
      </c>
      <c r="C786" s="54" t="s">
        <v>1468</v>
      </c>
      <c r="E786" s="1">
        <v>31583</v>
      </c>
      <c r="F786" s="309">
        <v>34499</v>
      </c>
      <c r="G786" s="309">
        <v>108958</v>
      </c>
      <c r="H786" s="368">
        <f t="shared" si="68"/>
        <v>1.5369407109244674E-4</v>
      </c>
      <c r="J786" s="1">
        <v>34205</v>
      </c>
      <c r="K786" s="309">
        <v>35063</v>
      </c>
      <c r="L786" s="309">
        <v>119932</v>
      </c>
      <c r="M786" s="368">
        <f t="shared" si="69"/>
        <v>1.6686237108794178E-4</v>
      </c>
      <c r="O786" s="1">
        <v>32896</v>
      </c>
      <c r="P786" s="309">
        <v>39998</v>
      </c>
      <c r="Q786" s="309">
        <v>131577</v>
      </c>
      <c r="R786" s="368">
        <f t="shared" si="70"/>
        <v>1.848006751606016E-4</v>
      </c>
    </row>
    <row r="787" spans="2:18" x14ac:dyDescent="0.3">
      <c r="B787" s="54" t="s">
        <v>1593</v>
      </c>
      <c r="C787" s="54" t="s">
        <v>27</v>
      </c>
      <c r="E787" s="1">
        <v>53361</v>
      </c>
      <c r="F787" s="309">
        <v>4485</v>
      </c>
      <c r="G787" s="309">
        <v>23934</v>
      </c>
      <c r="H787" s="368">
        <f t="shared" si="68"/>
        <v>6.6660610004073081E-5</v>
      </c>
      <c r="J787" s="1">
        <v>53061</v>
      </c>
      <c r="K787" s="309">
        <v>4486</v>
      </c>
      <c r="L787" s="309">
        <v>23804</v>
      </c>
      <c r="M787" s="368">
        <f t="shared" si="69"/>
        <v>6.9159787922806135E-5</v>
      </c>
      <c r="O787" s="1">
        <v>46695</v>
      </c>
      <c r="P787" s="309">
        <v>5252</v>
      </c>
      <c r="Q787" s="309">
        <v>24526</v>
      </c>
      <c r="R787" s="368">
        <f t="shared" si="70"/>
        <v>7.3591032530314929E-5</v>
      </c>
    </row>
    <row r="788" spans="2:18" x14ac:dyDescent="0.3">
      <c r="B788" s="54" t="s">
        <v>1593</v>
      </c>
      <c r="C788" s="54" t="s">
        <v>1470</v>
      </c>
      <c r="E788" s="1">
        <v>7558</v>
      </c>
      <c r="F788" s="309">
        <v>141822</v>
      </c>
      <c r="G788" s="309">
        <v>107189</v>
      </c>
      <c r="H788" s="368">
        <f t="shared" si="68"/>
        <v>5.9240853343145273E-5</v>
      </c>
      <c r="J788" s="1">
        <v>7790</v>
      </c>
      <c r="K788" s="309">
        <v>150146</v>
      </c>
      <c r="L788" s="309">
        <v>116964</v>
      </c>
      <c r="M788" s="368">
        <f t="shared" si="69"/>
        <v>6.1419420547192694E-5</v>
      </c>
      <c r="O788" s="1">
        <v>7797</v>
      </c>
      <c r="P788" s="309">
        <v>146992</v>
      </c>
      <c r="Q788" s="309">
        <v>114610</v>
      </c>
      <c r="R788" s="368">
        <f t="shared" si="70"/>
        <v>5.9522693848901135E-5</v>
      </c>
    </row>
    <row r="789" spans="2:18" x14ac:dyDescent="0.3">
      <c r="B789" s="54" t="s">
        <v>1593</v>
      </c>
      <c r="C789" s="54" t="s">
        <v>26</v>
      </c>
      <c r="E789" s="1">
        <v>10758</v>
      </c>
      <c r="F789" s="309">
        <v>10156</v>
      </c>
      <c r="G789" s="309">
        <v>10926</v>
      </c>
      <c r="H789" s="368">
        <f t="shared" si="68"/>
        <v>1.4153439748702064E-5</v>
      </c>
      <c r="J789" s="1">
        <v>10761</v>
      </c>
      <c r="K789" s="309">
        <v>10106</v>
      </c>
      <c r="L789" s="309">
        <v>10875</v>
      </c>
      <c r="M789" s="368">
        <f t="shared" si="69"/>
        <v>1.4833567293130703E-5</v>
      </c>
      <c r="O789" s="1">
        <v>13234</v>
      </c>
      <c r="P789" s="309">
        <v>11853</v>
      </c>
      <c r="Q789" s="309">
        <v>15686</v>
      </c>
      <c r="R789" s="368">
        <f t="shared" si="70"/>
        <v>2.0492856651476134E-5</v>
      </c>
    </row>
    <row r="790" spans="2:18" x14ac:dyDescent="0.3">
      <c r="B790" s="54" t="s">
        <v>1857</v>
      </c>
      <c r="C790" s="54" t="s">
        <v>25</v>
      </c>
      <c r="E790" s="1">
        <v>0</v>
      </c>
      <c r="F790" s="309"/>
      <c r="G790" s="309">
        <v>0</v>
      </c>
      <c r="H790" s="368">
        <f t="shared" si="68"/>
        <v>0</v>
      </c>
      <c r="J790" s="1">
        <v>0</v>
      </c>
      <c r="K790" s="309"/>
      <c r="L790" s="309">
        <v>0</v>
      </c>
      <c r="M790" s="368">
        <f t="shared" si="69"/>
        <v>0</v>
      </c>
      <c r="O790" s="1">
        <v>0</v>
      </c>
      <c r="P790" s="309"/>
      <c r="Q790" s="309">
        <v>0</v>
      </c>
      <c r="R790" s="368">
        <f t="shared" si="70"/>
        <v>0</v>
      </c>
    </row>
    <row r="791" spans="2:18" x14ac:dyDescent="0.3">
      <c r="B791" s="54" t="s">
        <v>1857</v>
      </c>
      <c r="C791" s="54" t="s">
        <v>1470</v>
      </c>
      <c r="E791" s="1">
        <v>0</v>
      </c>
      <c r="F791" s="309"/>
      <c r="G791" s="309">
        <v>0</v>
      </c>
      <c r="H791" s="368">
        <f t="shared" si="68"/>
        <v>0</v>
      </c>
      <c r="J791" s="1">
        <v>0</v>
      </c>
      <c r="K791" s="309"/>
      <c r="L791" s="309">
        <v>0</v>
      </c>
      <c r="M791" s="368">
        <f t="shared" si="69"/>
        <v>0</v>
      </c>
      <c r="O791" s="1">
        <v>0</v>
      </c>
      <c r="P791" s="309"/>
      <c r="Q791" s="309">
        <v>0</v>
      </c>
      <c r="R791" s="368">
        <f t="shared" si="70"/>
        <v>0</v>
      </c>
    </row>
    <row r="792" spans="2:18" x14ac:dyDescent="0.3">
      <c r="B792" s="54" t="s">
        <v>1594</v>
      </c>
      <c r="C792" s="54" t="s">
        <v>28</v>
      </c>
      <c r="E792" s="1">
        <v>709</v>
      </c>
      <c r="F792" s="309">
        <v>19746</v>
      </c>
      <c r="G792" s="309">
        <v>1400</v>
      </c>
      <c r="H792" s="368">
        <f t="shared" si="68"/>
        <v>4.9509824096475242E-6</v>
      </c>
      <c r="J792" s="1">
        <v>756</v>
      </c>
      <c r="K792" s="309">
        <v>18915</v>
      </c>
      <c r="L792" s="309">
        <v>1430</v>
      </c>
      <c r="M792" s="368">
        <f t="shared" si="69"/>
        <v>4.9191600544526938E-6</v>
      </c>
      <c r="O792" s="1">
        <v>807</v>
      </c>
      <c r="P792" s="309">
        <v>18079</v>
      </c>
      <c r="Q792" s="309">
        <v>1459</v>
      </c>
      <c r="R792" s="368">
        <f t="shared" si="70"/>
        <v>4.8750596555770691E-6</v>
      </c>
    </row>
    <row r="793" spans="2:18" x14ac:dyDescent="0.3">
      <c r="B793" s="54" t="s">
        <v>1594</v>
      </c>
      <c r="C793" s="54" t="s">
        <v>24</v>
      </c>
      <c r="E793" s="1">
        <v>0</v>
      </c>
      <c r="F793" s="309"/>
      <c r="G793" s="309">
        <v>0</v>
      </c>
      <c r="H793" s="368">
        <f t="shared" si="68"/>
        <v>0</v>
      </c>
      <c r="J793" s="1">
        <v>0</v>
      </c>
      <c r="K793" s="309"/>
      <c r="L793" s="309">
        <v>0</v>
      </c>
      <c r="M793" s="368">
        <f t="shared" si="69"/>
        <v>0</v>
      </c>
      <c r="O793" s="1">
        <v>0</v>
      </c>
      <c r="P793" s="309"/>
      <c r="Q793" s="309">
        <v>0</v>
      </c>
      <c r="R793" s="368">
        <f t="shared" si="70"/>
        <v>0</v>
      </c>
    </row>
    <row r="794" spans="2:18" x14ac:dyDescent="0.3">
      <c r="B794" s="54" t="s">
        <v>1594</v>
      </c>
      <c r="C794" s="54" t="s">
        <v>1470</v>
      </c>
      <c r="E794" s="1">
        <v>0</v>
      </c>
      <c r="F794" s="309"/>
      <c r="G794" s="309">
        <v>0</v>
      </c>
      <c r="H794" s="368">
        <f t="shared" si="68"/>
        <v>0</v>
      </c>
      <c r="J794" s="1">
        <v>0</v>
      </c>
      <c r="K794" s="309"/>
      <c r="L794" s="309">
        <v>0</v>
      </c>
      <c r="M794" s="368">
        <f t="shared" si="69"/>
        <v>0</v>
      </c>
      <c r="O794" s="1">
        <v>0</v>
      </c>
      <c r="P794" s="309"/>
      <c r="Q794" s="309">
        <v>0</v>
      </c>
      <c r="R794" s="368">
        <f t="shared" si="70"/>
        <v>0</v>
      </c>
    </row>
    <row r="795" spans="2:18" x14ac:dyDescent="0.3">
      <c r="B795" s="54" t="s">
        <v>1595</v>
      </c>
      <c r="C795" s="54" t="s">
        <v>28</v>
      </c>
      <c r="E795" s="1">
        <v>85</v>
      </c>
      <c r="F795" s="309">
        <v>68471</v>
      </c>
      <c r="G795" s="309">
        <v>582</v>
      </c>
      <c r="H795" s="368">
        <f t="shared" si="68"/>
        <v>2.0581941160106136E-6</v>
      </c>
      <c r="J795" s="1">
        <v>87</v>
      </c>
      <c r="K795" s="309">
        <v>68161</v>
      </c>
      <c r="L795" s="309">
        <v>593</v>
      </c>
      <c r="M795" s="368">
        <f t="shared" si="69"/>
        <v>2.0399034351681449E-6</v>
      </c>
      <c r="O795" s="1">
        <v>85</v>
      </c>
      <c r="P795" s="309">
        <v>68941</v>
      </c>
      <c r="Q795" s="309">
        <v>586</v>
      </c>
      <c r="R795" s="368">
        <f t="shared" si="70"/>
        <v>1.9580431515888705E-6</v>
      </c>
    </row>
    <row r="796" spans="2:18" x14ac:dyDescent="0.3">
      <c r="B796" s="54" t="s">
        <v>1595</v>
      </c>
      <c r="C796" s="54" t="s">
        <v>24</v>
      </c>
      <c r="E796" s="1">
        <v>40</v>
      </c>
      <c r="F796" s="309">
        <v>282250</v>
      </c>
      <c r="G796" s="309">
        <v>1129</v>
      </c>
      <c r="H796" s="368">
        <f t="shared" si="68"/>
        <v>9.9604949039077572E-7</v>
      </c>
      <c r="J796" s="1">
        <v>37</v>
      </c>
      <c r="K796" s="309">
        <v>278378</v>
      </c>
      <c r="L796" s="309">
        <v>1030</v>
      </c>
      <c r="M796" s="368">
        <f t="shared" si="69"/>
        <v>9.1904360296728875E-7</v>
      </c>
      <c r="O796" s="1">
        <v>31</v>
      </c>
      <c r="P796" s="309">
        <v>290323</v>
      </c>
      <c r="Q796" s="309">
        <v>900</v>
      </c>
      <c r="R796" s="368">
        <f t="shared" si="70"/>
        <v>7.8557512638016218E-7</v>
      </c>
    </row>
    <row r="797" spans="2:18" x14ac:dyDescent="0.3">
      <c r="B797" s="54" t="s">
        <v>1595</v>
      </c>
      <c r="C797" s="54" t="s">
        <v>1468</v>
      </c>
      <c r="E797" s="1">
        <v>0</v>
      </c>
      <c r="F797" s="309"/>
      <c r="G797" s="309">
        <v>0</v>
      </c>
      <c r="H797" s="368">
        <f t="shared" si="68"/>
        <v>0</v>
      </c>
      <c r="J797" s="1">
        <v>0</v>
      </c>
      <c r="K797" s="309"/>
      <c r="L797" s="309">
        <v>0</v>
      </c>
      <c r="M797" s="368">
        <f t="shared" si="69"/>
        <v>0</v>
      </c>
      <c r="O797" s="1">
        <v>0</v>
      </c>
      <c r="P797" s="309"/>
      <c r="Q797" s="309">
        <v>0</v>
      </c>
      <c r="R797" s="368">
        <f t="shared" si="70"/>
        <v>0</v>
      </c>
    </row>
    <row r="798" spans="2:18" x14ac:dyDescent="0.3">
      <c r="B798" s="54" t="s">
        <v>1595</v>
      </c>
      <c r="C798" s="54" t="s">
        <v>1470</v>
      </c>
      <c r="E798" s="1">
        <v>767</v>
      </c>
      <c r="F798" s="309">
        <v>244263</v>
      </c>
      <c r="G798" s="309">
        <v>18735</v>
      </c>
      <c r="H798" s="368">
        <f t="shared" si="68"/>
        <v>1.035439632223294E-5</v>
      </c>
      <c r="J798" s="1">
        <v>767</v>
      </c>
      <c r="K798" s="309">
        <v>243937</v>
      </c>
      <c r="L798" s="309">
        <v>18710</v>
      </c>
      <c r="M798" s="368">
        <f t="shared" si="69"/>
        <v>9.8248808046747303E-6</v>
      </c>
      <c r="O798" s="1">
        <v>768</v>
      </c>
      <c r="P798" s="309">
        <v>243294</v>
      </c>
      <c r="Q798" s="309">
        <v>18685</v>
      </c>
      <c r="R798" s="368">
        <f t="shared" si="70"/>
        <v>9.7040531765702611E-6</v>
      </c>
    </row>
    <row r="799" spans="2:18" x14ac:dyDescent="0.3">
      <c r="B799" s="54" t="s">
        <v>1596</v>
      </c>
      <c r="C799" s="54" t="s">
        <v>28</v>
      </c>
      <c r="E799" s="1">
        <v>37</v>
      </c>
      <c r="F799" s="309">
        <v>123243</v>
      </c>
      <c r="G799" s="309">
        <v>456</v>
      </c>
      <c r="H799" s="368">
        <f t="shared" si="68"/>
        <v>1.6126056991423363E-6</v>
      </c>
      <c r="J799" s="1">
        <v>38</v>
      </c>
      <c r="K799" s="309">
        <v>122368</v>
      </c>
      <c r="L799" s="309">
        <v>465</v>
      </c>
      <c r="M799" s="368">
        <f t="shared" si="69"/>
        <v>1.5995870107136382E-6</v>
      </c>
      <c r="O799" s="1">
        <v>38</v>
      </c>
      <c r="P799" s="309">
        <v>124737</v>
      </c>
      <c r="Q799" s="309">
        <v>474</v>
      </c>
      <c r="R799" s="368">
        <f t="shared" si="70"/>
        <v>1.5838096482135233E-6</v>
      </c>
    </row>
    <row r="800" spans="2:18" x14ac:dyDescent="0.3">
      <c r="B800" s="54" t="s">
        <v>1596</v>
      </c>
      <c r="C800" s="54" t="s">
        <v>1470</v>
      </c>
      <c r="E800" s="1">
        <v>1</v>
      </c>
      <c r="F800" s="309">
        <v>120000</v>
      </c>
      <c r="G800" s="309">
        <v>12</v>
      </c>
      <c r="H800" s="368">
        <f t="shared" si="68"/>
        <v>6.632119341702444E-9</v>
      </c>
      <c r="J800" s="1">
        <v>1</v>
      </c>
      <c r="K800" s="309">
        <v>120000</v>
      </c>
      <c r="L800" s="309">
        <v>12</v>
      </c>
      <c r="M800" s="368">
        <f t="shared" si="69"/>
        <v>6.3013666304701639E-9</v>
      </c>
      <c r="O800" s="1">
        <v>1</v>
      </c>
      <c r="P800" s="309">
        <v>120000</v>
      </c>
      <c r="Q800" s="309">
        <v>12</v>
      </c>
      <c r="R800" s="368">
        <f t="shared" si="70"/>
        <v>6.2321989895019073E-9</v>
      </c>
    </row>
    <row r="801" spans="2:18" x14ac:dyDescent="0.3">
      <c r="B801" s="54" t="s">
        <v>1597</v>
      </c>
      <c r="C801" s="54" t="s">
        <v>28</v>
      </c>
      <c r="E801" s="1">
        <v>270</v>
      </c>
      <c r="F801" s="309">
        <v>53000</v>
      </c>
      <c r="G801" s="309">
        <v>1431</v>
      </c>
      <c r="H801" s="368">
        <f t="shared" si="68"/>
        <v>5.060611305861148E-6</v>
      </c>
      <c r="J801" s="1">
        <v>265</v>
      </c>
      <c r="K801" s="309">
        <v>52943</v>
      </c>
      <c r="L801" s="309">
        <v>1403</v>
      </c>
      <c r="M801" s="368">
        <f t="shared" si="69"/>
        <v>4.8262808086693209E-6</v>
      </c>
      <c r="O801" s="1">
        <v>283</v>
      </c>
      <c r="P801" s="309">
        <v>48905</v>
      </c>
      <c r="Q801" s="309">
        <v>1384</v>
      </c>
      <c r="R801" s="368">
        <f t="shared" si="70"/>
        <v>4.6244568631382199E-6</v>
      </c>
    </row>
    <row r="802" spans="2:18" x14ac:dyDescent="0.3">
      <c r="B802" s="54" t="s">
        <v>1597</v>
      </c>
      <c r="C802" s="54" t="s">
        <v>24</v>
      </c>
      <c r="E802" s="1">
        <v>284</v>
      </c>
      <c r="F802" s="309">
        <v>20282</v>
      </c>
      <c r="G802" s="309">
        <v>576</v>
      </c>
      <c r="H802" s="368">
        <f t="shared" si="68"/>
        <v>5.0817051059795118E-7</v>
      </c>
      <c r="J802" s="1">
        <v>466</v>
      </c>
      <c r="K802" s="309">
        <v>20193</v>
      </c>
      <c r="L802" s="309">
        <v>941</v>
      </c>
      <c r="M802" s="368">
        <f t="shared" si="69"/>
        <v>8.3963109746817355E-7</v>
      </c>
      <c r="O802" s="1">
        <v>553</v>
      </c>
      <c r="P802" s="309">
        <v>20090</v>
      </c>
      <c r="Q802" s="309">
        <v>1111</v>
      </c>
      <c r="R802" s="368">
        <f t="shared" si="70"/>
        <v>9.697488504537335E-7</v>
      </c>
    </row>
    <row r="803" spans="2:18" x14ac:dyDescent="0.3">
      <c r="B803" s="54" t="s">
        <v>1597</v>
      </c>
      <c r="C803" s="54" t="s">
        <v>1472</v>
      </c>
      <c r="E803" s="1">
        <v>1848</v>
      </c>
      <c r="F803" s="309">
        <v>95152</v>
      </c>
      <c r="G803" s="309">
        <v>17584</v>
      </c>
      <c r="H803" s="368">
        <f t="shared" si="68"/>
        <v>4.3927583529915138E-5</v>
      </c>
      <c r="J803" s="1">
        <v>1870</v>
      </c>
      <c r="K803" s="309">
        <v>95176</v>
      </c>
      <c r="L803" s="309">
        <v>17798</v>
      </c>
      <c r="M803" s="368">
        <f t="shared" si="69"/>
        <v>4.4099939074786946E-5</v>
      </c>
      <c r="O803" s="1">
        <v>1893</v>
      </c>
      <c r="P803" s="309">
        <v>95151</v>
      </c>
      <c r="Q803" s="309">
        <v>18012</v>
      </c>
      <c r="R803" s="368">
        <f t="shared" si="70"/>
        <v>4.3857183052255994E-5</v>
      </c>
    </row>
    <row r="804" spans="2:18" x14ac:dyDescent="0.3">
      <c r="B804" s="54" t="s">
        <v>1598</v>
      </c>
      <c r="C804" s="54" t="s">
        <v>24</v>
      </c>
      <c r="E804" s="1">
        <v>2471</v>
      </c>
      <c r="F804" s="309">
        <v>61024</v>
      </c>
      <c r="G804" s="309">
        <v>15079</v>
      </c>
      <c r="H804" s="368">
        <f t="shared" si="68"/>
        <v>1.3303304043934906E-5</v>
      </c>
      <c r="J804" s="1">
        <v>7847</v>
      </c>
      <c r="K804" s="309">
        <v>56768</v>
      </c>
      <c r="L804" s="309">
        <v>44546</v>
      </c>
      <c r="M804" s="368">
        <f t="shared" si="69"/>
        <v>3.974729741532121E-5</v>
      </c>
      <c r="O804" s="1">
        <v>7839</v>
      </c>
      <c r="P804" s="309">
        <v>60768</v>
      </c>
      <c r="Q804" s="309">
        <v>47636</v>
      </c>
      <c r="R804" s="368">
        <f t="shared" si="70"/>
        <v>4.1579618578050452E-5</v>
      </c>
    </row>
    <row r="805" spans="2:18" x14ac:dyDescent="0.3">
      <c r="B805" s="54" t="s">
        <v>1598</v>
      </c>
      <c r="C805" s="54" t="s">
        <v>25</v>
      </c>
      <c r="E805" s="1">
        <v>18755</v>
      </c>
      <c r="F805" s="309">
        <v>254022</v>
      </c>
      <c r="G805" s="309">
        <v>476418</v>
      </c>
      <c r="H805" s="368">
        <f t="shared" si="68"/>
        <v>1.2893117064102868E-3</v>
      </c>
      <c r="J805" s="1">
        <v>18058</v>
      </c>
      <c r="K805" s="309">
        <v>235491</v>
      </c>
      <c r="L805" s="309">
        <v>425250</v>
      </c>
      <c r="M805" s="368">
        <f t="shared" si="69"/>
        <v>1.1660841300647139E-3</v>
      </c>
      <c r="O805" s="1">
        <v>19062</v>
      </c>
      <c r="P805" s="309">
        <v>247680</v>
      </c>
      <c r="Q805" s="309">
        <v>472127</v>
      </c>
      <c r="R805" s="368">
        <f t="shared" si="70"/>
        <v>1.2766510578658336E-3</v>
      </c>
    </row>
    <row r="806" spans="2:18" x14ac:dyDescent="0.3">
      <c r="B806" s="54" t="s">
        <v>1598</v>
      </c>
      <c r="C806" s="54" t="s">
        <v>1468</v>
      </c>
      <c r="E806" s="1">
        <v>0</v>
      </c>
      <c r="F806" s="309"/>
      <c r="G806" s="309">
        <v>0</v>
      </c>
      <c r="H806" s="368">
        <f t="shared" si="68"/>
        <v>0</v>
      </c>
      <c r="J806" s="1">
        <v>0</v>
      </c>
      <c r="K806" s="309"/>
      <c r="L806" s="309">
        <v>0</v>
      </c>
      <c r="M806" s="368">
        <f t="shared" si="69"/>
        <v>0</v>
      </c>
      <c r="O806" s="1">
        <v>0</v>
      </c>
      <c r="P806" s="309"/>
      <c r="Q806" s="309">
        <v>0</v>
      </c>
      <c r="R806" s="368">
        <f t="shared" si="70"/>
        <v>0</v>
      </c>
    </row>
    <row r="807" spans="2:18" x14ac:dyDescent="0.3">
      <c r="B807" s="54" t="s">
        <v>1598</v>
      </c>
      <c r="C807" s="54" t="s">
        <v>26</v>
      </c>
      <c r="E807" s="1">
        <v>96517</v>
      </c>
      <c r="F807" s="309">
        <v>64333</v>
      </c>
      <c r="G807" s="309">
        <v>620923</v>
      </c>
      <c r="H807" s="368">
        <f t="shared" si="68"/>
        <v>8.0433793420129338E-4</v>
      </c>
      <c r="J807" s="1">
        <v>94786</v>
      </c>
      <c r="K807" s="309">
        <v>54640</v>
      </c>
      <c r="L807" s="309">
        <v>517910</v>
      </c>
      <c r="M807" s="368">
        <f t="shared" si="69"/>
        <v>7.0643244476186872E-4</v>
      </c>
      <c r="O807" s="1">
        <v>87999</v>
      </c>
      <c r="P807" s="309">
        <v>60683</v>
      </c>
      <c r="Q807" s="309">
        <v>534000</v>
      </c>
      <c r="R807" s="368">
        <f t="shared" si="70"/>
        <v>6.9764028126279834E-4</v>
      </c>
    </row>
    <row r="808" spans="2:18" x14ac:dyDescent="0.3">
      <c r="B808" s="54" t="s">
        <v>1599</v>
      </c>
      <c r="C808" s="54" t="s">
        <v>28</v>
      </c>
      <c r="E808" s="1">
        <v>63513</v>
      </c>
      <c r="F808" s="309">
        <v>110968</v>
      </c>
      <c r="G808" s="309">
        <v>704794</v>
      </c>
      <c r="H808" s="368">
        <f t="shared" si="68"/>
        <v>2.4924447831607978E-3</v>
      </c>
      <c r="J808" s="1">
        <v>86624</v>
      </c>
      <c r="K808" s="309">
        <v>118182</v>
      </c>
      <c r="L808" s="309">
        <v>1023738</v>
      </c>
      <c r="M808" s="368">
        <f t="shared" si="69"/>
        <v>3.5216301229547497E-3</v>
      </c>
      <c r="O808" s="1">
        <v>94010</v>
      </c>
      <c r="P808" s="309">
        <v>109626</v>
      </c>
      <c r="Q808" s="309">
        <v>1030592</v>
      </c>
      <c r="R808" s="368">
        <f t="shared" si="70"/>
        <v>3.4435897742018384E-3</v>
      </c>
    </row>
    <row r="809" spans="2:18" x14ac:dyDescent="0.3">
      <c r="B809" s="54" t="s">
        <v>1599</v>
      </c>
      <c r="C809" s="54" t="s">
        <v>24</v>
      </c>
      <c r="E809" s="1">
        <v>231659</v>
      </c>
      <c r="F809" s="309">
        <v>17714</v>
      </c>
      <c r="G809" s="309">
        <v>410364</v>
      </c>
      <c r="H809" s="368">
        <f t="shared" si="68"/>
        <v>3.6203972814412782E-4</v>
      </c>
      <c r="J809" s="1">
        <v>250891</v>
      </c>
      <c r="K809" s="309">
        <v>19358</v>
      </c>
      <c r="L809" s="309">
        <v>485673</v>
      </c>
      <c r="M809" s="368">
        <f t="shared" si="69"/>
        <v>4.3335404250867187E-4</v>
      </c>
      <c r="O809" s="1">
        <v>258391</v>
      </c>
      <c r="P809" s="309">
        <v>20539</v>
      </c>
      <c r="Q809" s="309">
        <v>530705</v>
      </c>
      <c r="R809" s="368">
        <f t="shared" si="70"/>
        <v>4.6323183049509331E-4</v>
      </c>
    </row>
    <row r="810" spans="2:18" x14ac:dyDescent="0.3">
      <c r="B810" s="54" t="s">
        <v>1599</v>
      </c>
      <c r="C810" s="54" t="s">
        <v>1472</v>
      </c>
      <c r="E810" s="1">
        <v>12097</v>
      </c>
      <c r="F810" s="309">
        <v>113507</v>
      </c>
      <c r="G810" s="309">
        <v>137309</v>
      </c>
      <c r="H810" s="368">
        <f t="shared" si="68"/>
        <v>3.4301936799983608E-4</v>
      </c>
      <c r="J810" s="1">
        <v>12346</v>
      </c>
      <c r="K810" s="309">
        <v>114342</v>
      </c>
      <c r="L810" s="309">
        <v>141167</v>
      </c>
      <c r="M810" s="368">
        <f t="shared" si="69"/>
        <v>3.4978402625971734E-4</v>
      </c>
      <c r="O810" s="1">
        <v>12591</v>
      </c>
      <c r="P810" s="309">
        <v>115181</v>
      </c>
      <c r="Q810" s="309">
        <v>145024</v>
      </c>
      <c r="R810" s="368">
        <f t="shared" si="70"/>
        <v>3.5311703947203937E-4</v>
      </c>
    </row>
    <row r="811" spans="2:18" x14ac:dyDescent="0.3">
      <c r="B811" s="54" t="s">
        <v>1599</v>
      </c>
      <c r="C811" s="54" t="s">
        <v>25</v>
      </c>
      <c r="E811" s="1">
        <v>2917</v>
      </c>
      <c r="F811" s="309">
        <v>231351</v>
      </c>
      <c r="G811" s="309">
        <v>67485</v>
      </c>
      <c r="H811" s="368">
        <f t="shared" si="68"/>
        <v>1.8263205946689295E-4</v>
      </c>
      <c r="J811" s="1">
        <v>5047</v>
      </c>
      <c r="K811" s="309">
        <v>235354</v>
      </c>
      <c r="L811" s="309">
        <v>118783</v>
      </c>
      <c r="M811" s="368">
        <f t="shared" si="69"/>
        <v>3.2571656959782934E-4</v>
      </c>
      <c r="O811" s="1">
        <v>5850</v>
      </c>
      <c r="P811" s="309">
        <v>239316</v>
      </c>
      <c r="Q811" s="309">
        <v>140000</v>
      </c>
      <c r="R811" s="368">
        <f t="shared" si="70"/>
        <v>3.7856582678223591E-4</v>
      </c>
    </row>
    <row r="812" spans="2:18" x14ac:dyDescent="0.3">
      <c r="B812" s="54" t="s">
        <v>1599</v>
      </c>
      <c r="C812" s="54" t="s">
        <v>1468</v>
      </c>
      <c r="E812" s="1">
        <v>305934</v>
      </c>
      <c r="F812" s="309">
        <v>33055</v>
      </c>
      <c r="G812" s="309">
        <v>1011269</v>
      </c>
      <c r="H812" s="368">
        <f t="shared" si="68"/>
        <v>1.4264767119402662E-3</v>
      </c>
      <c r="J812" s="1">
        <v>323635</v>
      </c>
      <c r="K812" s="309">
        <v>37282</v>
      </c>
      <c r="L812" s="309">
        <v>1206587</v>
      </c>
      <c r="M812" s="368">
        <f t="shared" si="69"/>
        <v>1.6787343473292067E-3</v>
      </c>
      <c r="O812" s="1">
        <v>345596</v>
      </c>
      <c r="P812" s="309">
        <v>33442</v>
      </c>
      <c r="Q812" s="309">
        <v>1155730</v>
      </c>
      <c r="R812" s="368">
        <f t="shared" si="70"/>
        <v>1.6232296245039944E-3</v>
      </c>
    </row>
    <row r="813" spans="2:18" x14ac:dyDescent="0.3">
      <c r="B813" s="54" t="s">
        <v>1599</v>
      </c>
      <c r="C813" s="54" t="s">
        <v>27</v>
      </c>
      <c r="E813" s="1">
        <v>0</v>
      </c>
      <c r="F813" s="309"/>
      <c r="G813" s="309">
        <v>0</v>
      </c>
      <c r="H813" s="368">
        <f t="shared" si="68"/>
        <v>0</v>
      </c>
      <c r="J813" s="1">
        <v>0</v>
      </c>
      <c r="K813" s="309"/>
      <c r="L813" s="309">
        <v>0</v>
      </c>
      <c r="M813" s="368">
        <f t="shared" si="69"/>
        <v>0</v>
      </c>
      <c r="O813" s="1">
        <v>0</v>
      </c>
      <c r="P813" s="309"/>
      <c r="Q813" s="309">
        <v>0</v>
      </c>
      <c r="R813" s="368">
        <f t="shared" si="70"/>
        <v>0</v>
      </c>
    </row>
    <row r="814" spans="2:18" x14ac:dyDescent="0.3">
      <c r="B814" s="54" t="s">
        <v>1599</v>
      </c>
      <c r="C814" s="54" t="s">
        <v>1470</v>
      </c>
      <c r="E814" s="1">
        <v>9505</v>
      </c>
      <c r="F814" s="309">
        <v>1134350</v>
      </c>
      <c r="G814" s="309">
        <v>1078200</v>
      </c>
      <c r="H814" s="368">
        <f t="shared" si="68"/>
        <v>5.9589592285196459E-4</v>
      </c>
      <c r="J814" s="1">
        <v>9512</v>
      </c>
      <c r="K814" s="309">
        <v>1133516</v>
      </c>
      <c r="L814" s="309">
        <v>1078200</v>
      </c>
      <c r="M814" s="368">
        <f t="shared" si="69"/>
        <v>5.6617779174774425E-4</v>
      </c>
      <c r="O814" s="1">
        <v>9657</v>
      </c>
      <c r="P814" s="309">
        <v>1132547</v>
      </c>
      <c r="Q814" s="309">
        <v>1093701</v>
      </c>
      <c r="R814" s="368">
        <f t="shared" si="70"/>
        <v>5.6801352225143548E-4</v>
      </c>
    </row>
    <row r="815" spans="2:18" x14ac:dyDescent="0.3">
      <c r="B815" s="54" t="s">
        <v>1600</v>
      </c>
      <c r="C815" s="54" t="s">
        <v>24</v>
      </c>
      <c r="E815" s="1">
        <v>1002319</v>
      </c>
      <c r="F815" s="309">
        <v>40091</v>
      </c>
      <c r="G815" s="309">
        <v>4018370</v>
      </c>
      <c r="H815" s="368">
        <f t="shared" si="68"/>
        <v>3.5451686365824461E-3</v>
      </c>
      <c r="J815" s="1">
        <v>901753</v>
      </c>
      <c r="K815" s="309">
        <v>77236</v>
      </c>
      <c r="L815" s="309">
        <v>6964770</v>
      </c>
      <c r="M815" s="368">
        <f t="shared" si="69"/>
        <v>6.2144925384839652E-3</v>
      </c>
      <c r="O815" s="1">
        <v>962083</v>
      </c>
      <c r="P815" s="309">
        <v>76340</v>
      </c>
      <c r="Q815" s="309">
        <v>7344542</v>
      </c>
      <c r="R815" s="368">
        <f t="shared" si="70"/>
        <v>6.4107661220604547E-3</v>
      </c>
    </row>
    <row r="816" spans="2:18" x14ac:dyDescent="0.3">
      <c r="B816" s="54" t="s">
        <v>1600</v>
      </c>
      <c r="C816" s="54" t="s">
        <v>25</v>
      </c>
      <c r="E816" s="1">
        <v>38472</v>
      </c>
      <c r="F816" s="309">
        <v>153161</v>
      </c>
      <c r="G816" s="309">
        <v>589241</v>
      </c>
      <c r="H816" s="368">
        <f t="shared" si="68"/>
        <v>1.5946402512014739E-3</v>
      </c>
      <c r="J816" s="1">
        <v>28232</v>
      </c>
      <c r="K816" s="309">
        <v>172821</v>
      </c>
      <c r="L816" s="309">
        <v>487909</v>
      </c>
      <c r="M816" s="368">
        <f t="shared" si="69"/>
        <v>1.3379022735232088E-3</v>
      </c>
      <c r="O816" s="1">
        <v>34110</v>
      </c>
      <c r="P816" s="309">
        <v>205830</v>
      </c>
      <c r="Q816" s="309">
        <v>702086</v>
      </c>
      <c r="R816" s="368">
        <f t="shared" si="70"/>
        <v>1.8984697647302349E-3</v>
      </c>
    </row>
    <row r="817" spans="2:18" x14ac:dyDescent="0.3">
      <c r="B817" s="54" t="s">
        <v>1600</v>
      </c>
      <c r="C817" s="54" t="s">
        <v>27</v>
      </c>
      <c r="E817" s="1">
        <v>201712</v>
      </c>
      <c r="F817" s="309">
        <v>22868</v>
      </c>
      <c r="G817" s="309">
        <v>461272</v>
      </c>
      <c r="H817" s="368">
        <f t="shared" si="68"/>
        <v>1.2847277052644272E-3</v>
      </c>
      <c r="J817" s="1">
        <v>196472</v>
      </c>
      <c r="K817" s="309">
        <v>32860</v>
      </c>
      <c r="L817" s="309">
        <v>645607</v>
      </c>
      <c r="M817" s="368">
        <f t="shared" si="69"/>
        <v>1.875736985442745E-3</v>
      </c>
      <c r="O817" s="1">
        <v>229372</v>
      </c>
      <c r="P817" s="309">
        <v>30540</v>
      </c>
      <c r="Q817" s="309">
        <v>700502</v>
      </c>
      <c r="R817" s="368">
        <f t="shared" si="70"/>
        <v>2.1018782300232675E-3</v>
      </c>
    </row>
    <row r="818" spans="2:18" x14ac:dyDescent="0.3">
      <c r="B818" s="54" t="s">
        <v>1600</v>
      </c>
      <c r="C818" s="54" t="s">
        <v>1469</v>
      </c>
      <c r="E818" s="1">
        <v>53857</v>
      </c>
      <c r="F818" s="309">
        <v>466698</v>
      </c>
      <c r="G818" s="309">
        <v>2513495</v>
      </c>
      <c r="H818" s="368">
        <f t="shared" si="68"/>
        <v>8.0050313290510357E-3</v>
      </c>
      <c r="J818" s="1">
        <v>48125</v>
      </c>
      <c r="K818" s="309">
        <v>483180</v>
      </c>
      <c r="L818" s="309">
        <v>2325303</v>
      </c>
      <c r="M818" s="368">
        <f t="shared" si="69"/>
        <v>8.4954444758533997E-3</v>
      </c>
      <c r="O818" s="1">
        <v>42539</v>
      </c>
      <c r="P818" s="309">
        <v>541930</v>
      </c>
      <c r="Q818" s="309">
        <v>2305316</v>
      </c>
      <c r="R818" s="368">
        <f t="shared" si="70"/>
        <v>8.2776758380796872E-3</v>
      </c>
    </row>
    <row r="819" spans="2:18" x14ac:dyDescent="0.3">
      <c r="B819" s="54" t="s">
        <v>1600</v>
      </c>
      <c r="C819" s="54" t="s">
        <v>26</v>
      </c>
      <c r="E819" s="1">
        <v>556115</v>
      </c>
      <c r="F819" s="309">
        <v>40920</v>
      </c>
      <c r="G819" s="309">
        <v>2275623</v>
      </c>
      <c r="H819" s="368">
        <f t="shared" si="68"/>
        <v>2.9478210709555771E-3</v>
      </c>
      <c r="J819" s="1">
        <v>643083</v>
      </c>
      <c r="K819" s="309">
        <v>45742</v>
      </c>
      <c r="L819" s="309">
        <v>2941601</v>
      </c>
      <c r="M819" s="368">
        <f t="shared" si="69"/>
        <v>4.0123619662566041E-3</v>
      </c>
      <c r="O819" s="1">
        <v>577499</v>
      </c>
      <c r="P819" s="309">
        <v>43890</v>
      </c>
      <c r="Q819" s="309">
        <v>2534643</v>
      </c>
      <c r="R819" s="368">
        <f t="shared" si="70"/>
        <v>3.3113652723235636E-3</v>
      </c>
    </row>
    <row r="820" spans="2:18" x14ac:dyDescent="0.3">
      <c r="B820" s="54" t="s">
        <v>1601</v>
      </c>
      <c r="C820" s="54" t="s">
        <v>28</v>
      </c>
      <c r="E820" s="1">
        <v>19</v>
      </c>
      <c r="F820" s="309">
        <v>121579</v>
      </c>
      <c r="G820" s="309">
        <v>231</v>
      </c>
      <c r="H820" s="368">
        <f t="shared" si="68"/>
        <v>8.1691209759184141E-7</v>
      </c>
      <c r="J820" s="1">
        <v>19</v>
      </c>
      <c r="K820" s="309">
        <v>122632</v>
      </c>
      <c r="L820" s="309">
        <v>233</v>
      </c>
      <c r="M820" s="368">
        <f t="shared" si="69"/>
        <v>8.0151349138984447E-7</v>
      </c>
      <c r="O820" s="1">
        <v>19</v>
      </c>
      <c r="P820" s="309">
        <v>124211</v>
      </c>
      <c r="Q820" s="309">
        <v>236</v>
      </c>
      <c r="R820" s="368">
        <f t="shared" si="70"/>
        <v>7.8856345354091042E-7</v>
      </c>
    </row>
    <row r="821" spans="2:18" x14ac:dyDescent="0.3">
      <c r="B821" s="54" t="s">
        <v>1602</v>
      </c>
      <c r="C821" s="54" t="s">
        <v>28</v>
      </c>
      <c r="E821" s="1">
        <v>339911</v>
      </c>
      <c r="F821" s="309">
        <v>125585</v>
      </c>
      <c r="G821" s="309">
        <v>4268769</v>
      </c>
      <c r="H821" s="368">
        <f t="shared" si="68"/>
        <v>1.5096143021320466E-2</v>
      </c>
      <c r="J821" s="1">
        <v>345072</v>
      </c>
      <c r="K821" s="309">
        <v>128341</v>
      </c>
      <c r="L821" s="309">
        <v>4428691</v>
      </c>
      <c r="M821" s="368">
        <f t="shared" si="69"/>
        <v>1.5234573329170737E-2</v>
      </c>
      <c r="O821" s="1">
        <v>346266</v>
      </c>
      <c r="P821" s="309">
        <v>132517</v>
      </c>
      <c r="Q821" s="309">
        <v>4588612</v>
      </c>
      <c r="R821" s="368">
        <f t="shared" si="70"/>
        <v>1.5332253074912134E-2</v>
      </c>
    </row>
    <row r="822" spans="2:18" x14ac:dyDescent="0.3">
      <c r="B822" s="54" t="s">
        <v>1602</v>
      </c>
      <c r="C822" s="54" t="s">
        <v>24</v>
      </c>
      <c r="E822" s="1">
        <v>10510</v>
      </c>
      <c r="F822" s="309">
        <v>21330</v>
      </c>
      <c r="G822" s="309">
        <v>22418</v>
      </c>
      <c r="H822" s="368">
        <f t="shared" si="68"/>
        <v>1.9778066851709843E-5</v>
      </c>
      <c r="J822" s="1">
        <v>10720</v>
      </c>
      <c r="K822" s="309">
        <v>21438</v>
      </c>
      <c r="L822" s="309">
        <v>22981</v>
      </c>
      <c r="M822" s="368">
        <f t="shared" si="69"/>
        <v>2.050537965028278E-5</v>
      </c>
      <c r="O822" s="1">
        <v>11726</v>
      </c>
      <c r="P822" s="309">
        <v>32991</v>
      </c>
      <c r="Q822" s="309">
        <v>38685</v>
      </c>
      <c r="R822" s="368">
        <f t="shared" si="70"/>
        <v>3.376663751557397E-5</v>
      </c>
    </row>
    <row r="823" spans="2:18" x14ac:dyDescent="0.3">
      <c r="B823" s="54" t="s">
        <v>1602</v>
      </c>
      <c r="C823" s="54" t="s">
        <v>1472</v>
      </c>
      <c r="E823" s="1">
        <v>32047</v>
      </c>
      <c r="F823" s="309">
        <v>76762</v>
      </c>
      <c r="G823" s="309">
        <v>246000</v>
      </c>
      <c r="H823" s="368">
        <f t="shared" si="68"/>
        <v>6.145464938784762E-4</v>
      </c>
      <c r="J823" s="1">
        <v>33240</v>
      </c>
      <c r="K823" s="309">
        <v>76414</v>
      </c>
      <c r="L823" s="309">
        <v>254000</v>
      </c>
      <c r="M823" s="368">
        <f t="shared" si="69"/>
        <v>6.2936198027845178E-4</v>
      </c>
      <c r="O823" s="1">
        <v>33826</v>
      </c>
      <c r="P823" s="309">
        <v>76065</v>
      </c>
      <c r="Q823" s="309">
        <v>257299</v>
      </c>
      <c r="R823" s="368">
        <f t="shared" si="70"/>
        <v>6.2649396747515077E-4</v>
      </c>
    </row>
    <row r="824" spans="2:18" x14ac:dyDescent="0.3">
      <c r="B824" s="54" t="s">
        <v>1602</v>
      </c>
      <c r="C824" s="54" t="s">
        <v>1468</v>
      </c>
      <c r="E824" s="1">
        <v>780642</v>
      </c>
      <c r="F824" s="309">
        <v>11492</v>
      </c>
      <c r="G824" s="309">
        <v>897087</v>
      </c>
      <c r="H824" s="368">
        <f t="shared" si="68"/>
        <v>1.2654137663513441E-3</v>
      </c>
      <c r="J824" s="1">
        <v>796354</v>
      </c>
      <c r="K824" s="309">
        <v>11550</v>
      </c>
      <c r="L824" s="309">
        <v>919785</v>
      </c>
      <c r="M824" s="368">
        <f t="shared" si="69"/>
        <v>1.2797043824093865E-3</v>
      </c>
      <c r="O824" s="1">
        <v>601748</v>
      </c>
      <c r="P824" s="309">
        <v>15745</v>
      </c>
      <c r="Q824" s="309">
        <v>947464</v>
      </c>
      <c r="R824" s="368">
        <f t="shared" si="70"/>
        <v>1.3307187950049343E-3</v>
      </c>
    </row>
    <row r="825" spans="2:18" x14ac:dyDescent="0.3">
      <c r="B825" s="54" t="s">
        <v>1602</v>
      </c>
      <c r="C825" s="54" t="s">
        <v>1470</v>
      </c>
      <c r="E825" s="1">
        <v>1124</v>
      </c>
      <c r="F825" s="309">
        <v>698034</v>
      </c>
      <c r="G825" s="309">
        <v>78459</v>
      </c>
      <c r="H825" s="368">
        <f t="shared" si="68"/>
        <v>4.3362454285886004E-5</v>
      </c>
      <c r="J825" s="1">
        <v>1131</v>
      </c>
      <c r="K825" s="309">
        <v>697639</v>
      </c>
      <c r="L825" s="309">
        <v>78903</v>
      </c>
      <c r="M825" s="368">
        <f t="shared" si="69"/>
        <v>4.1433060936998944E-5</v>
      </c>
      <c r="O825" s="1">
        <v>1137</v>
      </c>
      <c r="P825" s="309">
        <v>697863</v>
      </c>
      <c r="Q825" s="309">
        <v>79347</v>
      </c>
      <c r="R825" s="368">
        <f t="shared" si="70"/>
        <v>4.1208857768333991E-5</v>
      </c>
    </row>
    <row r="826" spans="2:18" x14ac:dyDescent="0.3">
      <c r="B826" s="54" t="s">
        <v>1858</v>
      </c>
      <c r="C826" s="54" t="s">
        <v>28</v>
      </c>
      <c r="E826" s="1">
        <v>0</v>
      </c>
      <c r="F826" s="309"/>
      <c r="G826" s="309">
        <v>0</v>
      </c>
      <c r="H826" s="368">
        <f t="shared" si="68"/>
        <v>0</v>
      </c>
      <c r="J826" s="1">
        <v>0</v>
      </c>
      <c r="K826" s="309"/>
      <c r="L826" s="309">
        <v>0</v>
      </c>
      <c r="M826" s="368">
        <f t="shared" si="69"/>
        <v>0</v>
      </c>
      <c r="O826" s="1">
        <v>0</v>
      </c>
      <c r="P826" s="309"/>
      <c r="Q826" s="309">
        <v>0</v>
      </c>
      <c r="R826" s="368">
        <f t="shared" si="70"/>
        <v>0</v>
      </c>
    </row>
    <row r="827" spans="2:18" x14ac:dyDescent="0.3">
      <c r="B827" s="54" t="s">
        <v>1858</v>
      </c>
      <c r="C827" s="54" t="s">
        <v>1470</v>
      </c>
      <c r="E827" s="1">
        <v>0</v>
      </c>
      <c r="F827" s="309"/>
      <c r="G827" s="309">
        <v>0</v>
      </c>
      <c r="H827" s="368">
        <f t="shared" si="68"/>
        <v>0</v>
      </c>
      <c r="J827" s="1">
        <v>0</v>
      </c>
      <c r="K827" s="309"/>
      <c r="L827" s="309">
        <v>0</v>
      </c>
      <c r="M827" s="368">
        <f t="shared" si="69"/>
        <v>0</v>
      </c>
      <c r="O827" s="1">
        <v>0</v>
      </c>
      <c r="P827" s="309"/>
      <c r="Q827" s="309">
        <v>0</v>
      </c>
      <c r="R827" s="368">
        <f t="shared" si="70"/>
        <v>0</v>
      </c>
    </row>
    <row r="828" spans="2:18" x14ac:dyDescent="0.3">
      <c r="B828" s="54" t="s">
        <v>1603</v>
      </c>
      <c r="C828" s="54" t="s">
        <v>24</v>
      </c>
      <c r="E828" s="1">
        <v>187812</v>
      </c>
      <c r="F828" s="309">
        <v>56769</v>
      </c>
      <c r="G828" s="309">
        <v>1066188</v>
      </c>
      <c r="H828" s="368">
        <f t="shared" si="68"/>
        <v>9.4063420200244502E-4</v>
      </c>
      <c r="J828" s="1">
        <v>179030</v>
      </c>
      <c r="K828" s="309">
        <v>83685</v>
      </c>
      <c r="L828" s="309">
        <v>1498210</v>
      </c>
      <c r="M828" s="368">
        <f t="shared" si="69"/>
        <v>1.336815841166623E-3</v>
      </c>
      <c r="O828" s="1">
        <v>197240</v>
      </c>
      <c r="P828" s="309">
        <v>73251</v>
      </c>
      <c r="Q828" s="309">
        <v>1444810</v>
      </c>
      <c r="R828" s="368">
        <f t="shared" si="70"/>
        <v>1.2611186648281358E-3</v>
      </c>
    </row>
    <row r="829" spans="2:18" x14ac:dyDescent="0.3">
      <c r="B829" s="54" t="s">
        <v>1603</v>
      </c>
      <c r="C829" s="54" t="s">
        <v>25</v>
      </c>
      <c r="E829" s="1">
        <v>7450</v>
      </c>
      <c r="F829" s="309">
        <v>200946</v>
      </c>
      <c r="G829" s="309">
        <v>149705</v>
      </c>
      <c r="H829" s="368">
        <f t="shared" si="68"/>
        <v>4.0514088260341127E-4</v>
      </c>
      <c r="J829" s="1">
        <v>7760</v>
      </c>
      <c r="K829" s="309">
        <v>219008</v>
      </c>
      <c r="L829" s="309">
        <v>169950</v>
      </c>
      <c r="M829" s="368">
        <f t="shared" si="69"/>
        <v>4.6602233487242365E-4</v>
      </c>
      <c r="O829" s="1">
        <v>8190</v>
      </c>
      <c r="P829" s="309">
        <v>222735</v>
      </c>
      <c r="Q829" s="309">
        <v>182420</v>
      </c>
      <c r="R829" s="368">
        <f t="shared" si="70"/>
        <v>4.9327127229725342E-4</v>
      </c>
    </row>
    <row r="830" spans="2:18" x14ac:dyDescent="0.3">
      <c r="B830" s="54" t="s">
        <v>1603</v>
      </c>
      <c r="C830" s="54" t="s">
        <v>1468</v>
      </c>
      <c r="E830" s="1"/>
      <c r="F830" s="309"/>
      <c r="G830" s="309"/>
      <c r="H830" s="368">
        <f t="shared" si="68"/>
        <v>0</v>
      </c>
      <c r="J830" s="1">
        <v>0</v>
      </c>
      <c r="K830" s="309"/>
      <c r="L830" s="309">
        <v>0</v>
      </c>
      <c r="M830" s="368">
        <f t="shared" si="69"/>
        <v>0</v>
      </c>
      <c r="O830" s="1">
        <v>0</v>
      </c>
      <c r="P830" s="309"/>
      <c r="Q830" s="309">
        <v>0</v>
      </c>
      <c r="R830" s="368">
        <f t="shared" si="70"/>
        <v>0</v>
      </c>
    </row>
    <row r="831" spans="2:18" x14ac:dyDescent="0.3">
      <c r="B831" s="54" t="s">
        <v>1603</v>
      </c>
      <c r="C831" s="54" t="s">
        <v>27</v>
      </c>
      <c r="E831" s="1">
        <v>43900</v>
      </c>
      <c r="F831" s="309">
        <v>23335</v>
      </c>
      <c r="G831" s="309">
        <v>102441</v>
      </c>
      <c r="H831" s="368">
        <f t="shared" si="68"/>
        <v>2.8531710326010071E-4</v>
      </c>
      <c r="J831" s="1">
        <v>45300</v>
      </c>
      <c r="K831" s="309">
        <v>23611</v>
      </c>
      <c r="L831" s="309">
        <v>106960</v>
      </c>
      <c r="M831" s="368">
        <f t="shared" si="69"/>
        <v>3.1075999480017412E-4</v>
      </c>
      <c r="O831" s="1">
        <v>47600</v>
      </c>
      <c r="P831" s="309">
        <v>25139</v>
      </c>
      <c r="Q831" s="309">
        <v>119660</v>
      </c>
      <c r="R831" s="368">
        <f t="shared" si="70"/>
        <v>3.5904358446454715E-4</v>
      </c>
    </row>
    <row r="832" spans="2:18" x14ac:dyDescent="0.3">
      <c r="B832" s="54" t="s">
        <v>1603</v>
      </c>
      <c r="C832" s="54" t="s">
        <v>1469</v>
      </c>
      <c r="E832" s="1">
        <v>22377</v>
      </c>
      <c r="F832" s="309">
        <v>550026</v>
      </c>
      <c r="G832" s="309">
        <v>1230793</v>
      </c>
      <c r="H832" s="368">
        <f t="shared" si="68"/>
        <v>3.9198552312921693E-3</v>
      </c>
      <c r="J832" s="1">
        <v>21910</v>
      </c>
      <c r="K832" s="309">
        <v>598800</v>
      </c>
      <c r="L832" s="309">
        <v>1311970</v>
      </c>
      <c r="M832" s="368">
        <f t="shared" si="69"/>
        <v>4.7932541647197737E-3</v>
      </c>
      <c r="O832" s="1">
        <v>21720</v>
      </c>
      <c r="P832" s="309">
        <v>576275</v>
      </c>
      <c r="Q832" s="309">
        <v>1251670</v>
      </c>
      <c r="R832" s="368">
        <f t="shared" si="70"/>
        <v>4.4943593486746298E-3</v>
      </c>
    </row>
    <row r="833" spans="2:18" x14ac:dyDescent="0.3">
      <c r="B833" s="54" t="s">
        <v>1603</v>
      </c>
      <c r="C833" s="54" t="s">
        <v>26</v>
      </c>
      <c r="E833" s="1">
        <v>373667</v>
      </c>
      <c r="F833" s="309">
        <v>47386</v>
      </c>
      <c r="G833" s="309">
        <v>1770659</v>
      </c>
      <c r="H833" s="368">
        <f t="shared" si="68"/>
        <v>2.2936953571295118E-3</v>
      </c>
      <c r="J833" s="1">
        <v>403370</v>
      </c>
      <c r="K833" s="309">
        <v>47796</v>
      </c>
      <c r="L833" s="309">
        <v>1927930</v>
      </c>
      <c r="M833" s="368">
        <f t="shared" si="69"/>
        <v>2.6297084497880897E-3</v>
      </c>
      <c r="O833" s="1">
        <v>406820</v>
      </c>
      <c r="P833" s="309">
        <v>47666</v>
      </c>
      <c r="Q833" s="309">
        <v>1939130</v>
      </c>
      <c r="R833" s="368">
        <f t="shared" si="70"/>
        <v>2.5333617951406933E-3</v>
      </c>
    </row>
    <row r="834" spans="2:18" x14ac:dyDescent="0.3">
      <c r="B834" s="54" t="s">
        <v>1604</v>
      </c>
      <c r="C834" s="54" t="s">
        <v>24</v>
      </c>
      <c r="E834" s="1">
        <v>38290</v>
      </c>
      <c r="F834" s="309">
        <v>71083</v>
      </c>
      <c r="G834" s="309">
        <v>272177</v>
      </c>
      <c r="H834" s="368">
        <f t="shared" si="68"/>
        <v>2.4012556434551831E-4</v>
      </c>
      <c r="J834" s="1">
        <v>37080</v>
      </c>
      <c r="K834" s="309">
        <v>94523</v>
      </c>
      <c r="L834" s="309">
        <v>350490</v>
      </c>
      <c r="M834" s="368">
        <f t="shared" si="69"/>
        <v>3.127335848582573E-4</v>
      </c>
      <c r="O834" s="1">
        <v>38880</v>
      </c>
      <c r="P834" s="309">
        <v>92685</v>
      </c>
      <c r="Q834" s="309">
        <v>360360</v>
      </c>
      <c r="R834" s="368">
        <f t="shared" si="70"/>
        <v>3.1454428060261692E-4</v>
      </c>
    </row>
    <row r="835" spans="2:18" x14ac:dyDescent="0.3">
      <c r="B835" s="54" t="s">
        <v>1604</v>
      </c>
      <c r="C835" s="54" t="s">
        <v>25</v>
      </c>
      <c r="E835" s="1">
        <v>3165</v>
      </c>
      <c r="F835" s="309">
        <v>243526</v>
      </c>
      <c r="G835" s="309">
        <v>77076</v>
      </c>
      <c r="H835" s="368">
        <f t="shared" ref="H835:H898" si="71">G835/(VLOOKUP($C835,$W$5:$Z$13,2,FALSE)*10^6)</f>
        <v>2.0858781381744449E-4</v>
      </c>
      <c r="J835" s="1">
        <v>2810</v>
      </c>
      <c r="K835" s="309">
        <v>259502</v>
      </c>
      <c r="L835" s="309">
        <v>72920</v>
      </c>
      <c r="M835" s="368">
        <f t="shared" ref="M835:M898" si="72">L835/(VLOOKUP($C835,$W$5:$Z$13,3,FALSE)*10^6)</f>
        <v>1.9995497886965066E-4</v>
      </c>
      <c r="O835" s="1">
        <v>2800</v>
      </c>
      <c r="P835" s="309">
        <v>235571</v>
      </c>
      <c r="Q835" s="309">
        <v>65960</v>
      </c>
      <c r="R835" s="368">
        <f t="shared" ref="R835:R898" si="73">Q835/(VLOOKUP($C835,$W$5:$Z$13,4,FALSE)*10^6)</f>
        <v>1.7835858524683059E-4</v>
      </c>
    </row>
    <row r="836" spans="2:18" x14ac:dyDescent="0.3">
      <c r="B836" s="54" t="s">
        <v>1604</v>
      </c>
      <c r="C836" s="54" t="s">
        <v>1468</v>
      </c>
      <c r="E836" s="1"/>
      <c r="F836" s="309"/>
      <c r="G836" s="309"/>
      <c r="H836" s="368">
        <f t="shared" si="71"/>
        <v>0</v>
      </c>
      <c r="J836" s="1">
        <v>0</v>
      </c>
      <c r="K836" s="309"/>
      <c r="L836" s="309">
        <v>0</v>
      </c>
      <c r="M836" s="368">
        <f t="shared" si="72"/>
        <v>0</v>
      </c>
      <c r="O836" s="1">
        <v>0</v>
      </c>
      <c r="P836" s="309"/>
      <c r="Q836" s="309">
        <v>0</v>
      </c>
      <c r="R836" s="368">
        <f t="shared" si="73"/>
        <v>0</v>
      </c>
    </row>
    <row r="837" spans="2:18" x14ac:dyDescent="0.3">
      <c r="B837" s="54" t="s">
        <v>1604</v>
      </c>
      <c r="C837" s="54" t="s">
        <v>27</v>
      </c>
      <c r="E837" s="1">
        <v>2908</v>
      </c>
      <c r="F837" s="309">
        <v>26523</v>
      </c>
      <c r="G837" s="309">
        <v>7713</v>
      </c>
      <c r="H837" s="368">
        <f t="shared" si="71"/>
        <v>2.1482129395897706E-5</v>
      </c>
      <c r="J837" s="1">
        <v>1760</v>
      </c>
      <c r="K837" s="309">
        <v>30284</v>
      </c>
      <c r="L837" s="309">
        <v>5330</v>
      </c>
      <c r="M837" s="368">
        <f t="shared" si="72"/>
        <v>1.548570280745071E-5</v>
      </c>
      <c r="O837" s="1">
        <v>1430</v>
      </c>
      <c r="P837" s="309">
        <v>29650</v>
      </c>
      <c r="Q837" s="309">
        <v>4240</v>
      </c>
      <c r="R837" s="368">
        <f t="shared" si="73"/>
        <v>1.2722253034678923E-5</v>
      </c>
    </row>
    <row r="838" spans="2:18" x14ac:dyDescent="0.3">
      <c r="B838" s="54" t="s">
        <v>1604</v>
      </c>
      <c r="C838" s="54" t="s">
        <v>1469</v>
      </c>
      <c r="E838" s="1">
        <v>0</v>
      </c>
      <c r="F838" s="309"/>
      <c r="G838" s="309">
        <v>0</v>
      </c>
      <c r="H838" s="368">
        <f t="shared" si="71"/>
        <v>0</v>
      </c>
      <c r="J838" s="1"/>
      <c r="K838" s="309"/>
      <c r="L838" s="309"/>
      <c r="M838" s="368">
        <f t="shared" si="72"/>
        <v>0</v>
      </c>
      <c r="O838" s="1">
        <v>180</v>
      </c>
      <c r="P838" s="309">
        <v>626667</v>
      </c>
      <c r="Q838" s="309">
        <v>11280</v>
      </c>
      <c r="R838" s="368">
        <f t="shared" si="73"/>
        <v>4.0502986772112317E-5</v>
      </c>
    </row>
    <row r="839" spans="2:18" x14ac:dyDescent="0.3">
      <c r="B839" s="54" t="s">
        <v>1604</v>
      </c>
      <c r="C839" s="54" t="s">
        <v>26</v>
      </c>
      <c r="E839" s="1">
        <v>28016</v>
      </c>
      <c r="F839" s="309">
        <v>50314</v>
      </c>
      <c r="G839" s="309">
        <v>140961</v>
      </c>
      <c r="H839" s="368">
        <f t="shared" si="71"/>
        <v>1.82599580854548E-4</v>
      </c>
      <c r="J839" s="1">
        <v>27820</v>
      </c>
      <c r="K839" s="309">
        <v>43817</v>
      </c>
      <c r="L839" s="309">
        <v>121900</v>
      </c>
      <c r="M839" s="368">
        <f t="shared" si="72"/>
        <v>1.6627235430185128E-4</v>
      </c>
      <c r="O839" s="1">
        <v>26730</v>
      </c>
      <c r="P839" s="309">
        <v>52305</v>
      </c>
      <c r="Q839" s="309">
        <v>139810</v>
      </c>
      <c r="R839" s="368">
        <f t="shared" si="73"/>
        <v>1.8265372232837424E-4</v>
      </c>
    </row>
    <row r="840" spans="2:18" x14ac:dyDescent="0.3">
      <c r="B840" s="54" t="s">
        <v>1605</v>
      </c>
      <c r="C840" s="54" t="s">
        <v>28</v>
      </c>
      <c r="E840" s="1">
        <v>196</v>
      </c>
      <c r="F840" s="309">
        <v>166888</v>
      </c>
      <c r="G840" s="309">
        <v>3271</v>
      </c>
      <c r="H840" s="368">
        <f t="shared" si="71"/>
        <v>1.156761675854075E-5</v>
      </c>
      <c r="J840" s="1">
        <v>199</v>
      </c>
      <c r="K840" s="309">
        <v>167136</v>
      </c>
      <c r="L840" s="309">
        <v>3326</v>
      </c>
      <c r="M840" s="368">
        <f t="shared" si="72"/>
        <v>1.1441347091685076E-5</v>
      </c>
      <c r="O840" s="1">
        <v>203</v>
      </c>
      <c r="P840" s="309">
        <v>166552</v>
      </c>
      <c r="Q840" s="309">
        <v>3381</v>
      </c>
      <c r="R840" s="368">
        <f t="shared" si="73"/>
        <v>1.1297173883143297E-5</v>
      </c>
    </row>
    <row r="841" spans="2:18" x14ac:dyDescent="0.3">
      <c r="B841" s="54" t="s">
        <v>1605</v>
      </c>
      <c r="C841" s="54" t="s">
        <v>1472</v>
      </c>
      <c r="E841" s="1">
        <v>20000</v>
      </c>
      <c r="F841" s="309">
        <v>143489</v>
      </c>
      <c r="G841" s="309">
        <v>286978</v>
      </c>
      <c r="H841" s="368">
        <f t="shared" si="71"/>
        <v>7.1691595008234682E-4</v>
      </c>
      <c r="J841" s="1">
        <v>21000</v>
      </c>
      <c r="K841" s="309">
        <v>141959</v>
      </c>
      <c r="L841" s="309">
        <v>298114</v>
      </c>
      <c r="M841" s="368">
        <f t="shared" si="72"/>
        <v>7.3866778499500144E-4</v>
      </c>
      <c r="O841" s="1">
        <v>22000</v>
      </c>
      <c r="P841" s="309">
        <v>140431</v>
      </c>
      <c r="Q841" s="309">
        <v>308949</v>
      </c>
      <c r="R841" s="368">
        <f t="shared" si="73"/>
        <v>7.5225587646077262E-4</v>
      </c>
    </row>
    <row r="842" spans="2:18" x14ac:dyDescent="0.3">
      <c r="B842" s="54" t="s">
        <v>1605</v>
      </c>
      <c r="C842" s="54" t="s">
        <v>1468</v>
      </c>
      <c r="E842" s="1">
        <v>1620</v>
      </c>
      <c r="F842" s="309">
        <v>16914</v>
      </c>
      <c r="G842" s="309">
        <v>2740</v>
      </c>
      <c r="H842" s="368">
        <f t="shared" si="71"/>
        <v>3.8649916003717402E-6</v>
      </c>
      <c r="J842" s="1">
        <v>1715</v>
      </c>
      <c r="K842" s="309">
        <v>16012</v>
      </c>
      <c r="L842" s="309">
        <v>2746</v>
      </c>
      <c r="M842" s="368">
        <f t="shared" si="72"/>
        <v>3.8205322266575067E-6</v>
      </c>
      <c r="O842" s="1">
        <v>1820</v>
      </c>
      <c r="P842" s="309">
        <v>15126</v>
      </c>
      <c r="Q842" s="309">
        <v>2753</v>
      </c>
      <c r="R842" s="368">
        <f t="shared" si="73"/>
        <v>3.866604792001157E-6</v>
      </c>
    </row>
    <row r="843" spans="2:18" x14ac:dyDescent="0.3">
      <c r="B843" s="54" t="s">
        <v>1606</v>
      </c>
      <c r="C843" s="54" t="s">
        <v>28</v>
      </c>
      <c r="E843" s="1">
        <v>9655</v>
      </c>
      <c r="F843" s="309">
        <v>96093</v>
      </c>
      <c r="G843" s="309">
        <v>92778</v>
      </c>
      <c r="H843" s="368">
        <f t="shared" si="71"/>
        <v>3.2810160428734143E-4</v>
      </c>
      <c r="J843" s="1">
        <v>9699</v>
      </c>
      <c r="K843" s="309">
        <v>96142</v>
      </c>
      <c r="L843" s="309">
        <v>93248</v>
      </c>
      <c r="M843" s="368">
        <f t="shared" si="72"/>
        <v>3.2077051521510827E-4</v>
      </c>
      <c r="O843" s="1">
        <v>9743</v>
      </c>
      <c r="P843" s="309">
        <v>96189</v>
      </c>
      <c r="Q843" s="309">
        <v>93717</v>
      </c>
      <c r="R843" s="368">
        <f t="shared" si="73"/>
        <v>3.1314322531988769E-4</v>
      </c>
    </row>
    <row r="844" spans="2:18" x14ac:dyDescent="0.3">
      <c r="B844" s="54" t="s">
        <v>1606</v>
      </c>
      <c r="C844" s="54" t="s">
        <v>24</v>
      </c>
      <c r="E844" s="1">
        <v>100000</v>
      </c>
      <c r="F844" s="309">
        <v>7700</v>
      </c>
      <c r="G844" s="309">
        <v>77000</v>
      </c>
      <c r="H844" s="368">
        <f t="shared" si="71"/>
        <v>6.7932516173684442E-5</v>
      </c>
      <c r="J844" s="1">
        <v>93000</v>
      </c>
      <c r="K844" s="309">
        <v>10968</v>
      </c>
      <c r="L844" s="309">
        <v>102000</v>
      </c>
      <c r="M844" s="368">
        <f t="shared" si="72"/>
        <v>9.1012084954042189E-5</v>
      </c>
      <c r="O844" s="1">
        <v>100000</v>
      </c>
      <c r="P844" s="309">
        <v>5700</v>
      </c>
      <c r="Q844" s="309">
        <v>57000</v>
      </c>
      <c r="R844" s="368">
        <f t="shared" si="73"/>
        <v>4.9753091337410274E-5</v>
      </c>
    </row>
    <row r="845" spans="2:18" x14ac:dyDescent="0.3">
      <c r="B845" s="54" t="s">
        <v>1606</v>
      </c>
      <c r="C845" s="54" t="s">
        <v>1468</v>
      </c>
      <c r="E845" s="1">
        <v>846</v>
      </c>
      <c r="F845" s="309">
        <v>18109</v>
      </c>
      <c r="G845" s="309">
        <v>1532</v>
      </c>
      <c r="H845" s="368">
        <f t="shared" si="71"/>
        <v>2.1610099021056592E-6</v>
      </c>
      <c r="J845" s="1">
        <v>959</v>
      </c>
      <c r="K845" s="309">
        <v>14004</v>
      </c>
      <c r="L845" s="309">
        <v>1343</v>
      </c>
      <c r="M845" s="368">
        <f t="shared" si="72"/>
        <v>1.8685268683179286E-6</v>
      </c>
      <c r="O845" s="1">
        <v>1130</v>
      </c>
      <c r="P845" s="309">
        <v>10142</v>
      </c>
      <c r="Q845" s="309">
        <v>1146</v>
      </c>
      <c r="R845" s="368">
        <f t="shared" si="73"/>
        <v>1.6095637819227482E-6</v>
      </c>
    </row>
    <row r="846" spans="2:18" x14ac:dyDescent="0.3">
      <c r="B846" s="54" t="s">
        <v>1606</v>
      </c>
      <c r="C846" s="54" t="s">
        <v>1470</v>
      </c>
      <c r="E846" s="1">
        <v>6113</v>
      </c>
      <c r="F846" s="309">
        <v>359889</v>
      </c>
      <c r="G846" s="309">
        <v>220000</v>
      </c>
      <c r="H846" s="368">
        <f t="shared" si="71"/>
        <v>1.2158885459787814E-4</v>
      </c>
      <c r="J846" s="1">
        <v>6364</v>
      </c>
      <c r="K846" s="309">
        <v>361408</v>
      </c>
      <c r="L846" s="309">
        <v>230000</v>
      </c>
      <c r="M846" s="368">
        <f t="shared" si="72"/>
        <v>1.2077619375067814E-4</v>
      </c>
      <c r="O846" s="1">
        <v>6241</v>
      </c>
      <c r="P846" s="309">
        <v>362934</v>
      </c>
      <c r="Q846" s="309">
        <v>226507</v>
      </c>
      <c r="R846" s="368">
        <f t="shared" si="73"/>
        <v>1.1763639137625905E-4</v>
      </c>
    </row>
    <row r="847" spans="2:18" x14ac:dyDescent="0.3">
      <c r="B847" s="54" t="s">
        <v>1606</v>
      </c>
      <c r="C847" s="54" t="s">
        <v>26</v>
      </c>
      <c r="E847" s="1">
        <v>2589</v>
      </c>
      <c r="F847" s="309">
        <v>3986</v>
      </c>
      <c r="G847" s="309">
        <v>1032</v>
      </c>
      <c r="H847" s="368">
        <f t="shared" si="71"/>
        <v>1.3368432931228747E-6</v>
      </c>
      <c r="J847" s="1">
        <v>2591</v>
      </c>
      <c r="K847" s="309">
        <v>3998</v>
      </c>
      <c r="L847" s="309">
        <v>1036</v>
      </c>
      <c r="M847" s="368">
        <f t="shared" si="72"/>
        <v>1.4131104106375546E-6</v>
      </c>
      <c r="O847" s="1">
        <v>2593</v>
      </c>
      <c r="P847" s="309">
        <v>4007</v>
      </c>
      <c r="Q847" s="309">
        <v>1039</v>
      </c>
      <c r="R847" s="368">
        <f t="shared" si="73"/>
        <v>1.3573937307716246E-6</v>
      </c>
    </row>
    <row r="848" spans="2:18" x14ac:dyDescent="0.3">
      <c r="B848" s="54" t="s">
        <v>19</v>
      </c>
      <c r="C848" s="54" t="s">
        <v>24</v>
      </c>
      <c r="E848" s="1">
        <v>2628600</v>
      </c>
      <c r="F848" s="309">
        <v>63988</v>
      </c>
      <c r="G848" s="309">
        <v>16820000</v>
      </c>
      <c r="H848" s="368">
        <f t="shared" si="71"/>
        <v>1.4839284701836004E-2</v>
      </c>
      <c r="J848" s="1">
        <v>2318850</v>
      </c>
      <c r="K848" s="309">
        <v>53949</v>
      </c>
      <c r="L848" s="309">
        <v>12510000</v>
      </c>
      <c r="M848" s="368">
        <f t="shared" si="72"/>
        <v>1.1162364537010468E-2</v>
      </c>
      <c r="O848" s="1">
        <v>2300500</v>
      </c>
      <c r="P848" s="309">
        <v>49013</v>
      </c>
      <c r="Q848" s="309">
        <v>11275500</v>
      </c>
      <c r="R848" s="368">
        <f t="shared" si="73"/>
        <v>9.8419470416661325E-3</v>
      </c>
    </row>
    <row r="849" spans="2:18" x14ac:dyDescent="0.3">
      <c r="B849" s="54" t="s">
        <v>19</v>
      </c>
      <c r="C849" s="54" t="s">
        <v>25</v>
      </c>
      <c r="E849" s="1">
        <v>67890</v>
      </c>
      <c r="F849" s="309">
        <v>361907</v>
      </c>
      <c r="G849" s="309">
        <v>2456990</v>
      </c>
      <c r="H849" s="368">
        <f t="shared" si="71"/>
        <v>6.6492575207758951E-3</v>
      </c>
      <c r="J849" s="1">
        <v>67746</v>
      </c>
      <c r="K849" s="309">
        <v>364261</v>
      </c>
      <c r="L849" s="309">
        <v>2467724</v>
      </c>
      <c r="M849" s="368">
        <f t="shared" si="72"/>
        <v>6.7667814080654117E-3</v>
      </c>
      <c r="O849" s="1">
        <v>68348</v>
      </c>
      <c r="P849" s="309">
        <v>366620</v>
      </c>
      <c r="Q849" s="309">
        <v>2505775</v>
      </c>
      <c r="R849" s="368">
        <f t="shared" si="73"/>
        <v>6.7757198900375518E-3</v>
      </c>
    </row>
    <row r="850" spans="2:18" x14ac:dyDescent="0.3">
      <c r="B850" s="54" t="s">
        <v>19</v>
      </c>
      <c r="C850" s="54" t="s">
        <v>1468</v>
      </c>
      <c r="E850" s="1">
        <v>1113</v>
      </c>
      <c r="F850" s="309">
        <v>27628</v>
      </c>
      <c r="G850" s="309">
        <v>3075</v>
      </c>
      <c r="H850" s="368">
        <f t="shared" si="71"/>
        <v>4.3375361938478468E-6</v>
      </c>
      <c r="J850" s="1">
        <v>1109</v>
      </c>
      <c r="K850" s="309">
        <v>27737</v>
      </c>
      <c r="L850" s="309">
        <v>3076</v>
      </c>
      <c r="M850" s="368">
        <f t="shared" si="72"/>
        <v>4.2796639217765807E-6</v>
      </c>
      <c r="O850" s="1">
        <v>1097</v>
      </c>
      <c r="P850" s="309">
        <v>28049</v>
      </c>
      <c r="Q850" s="309">
        <v>3077</v>
      </c>
      <c r="R850" s="368">
        <f t="shared" si="73"/>
        <v>4.3216647094033997E-6</v>
      </c>
    </row>
    <row r="851" spans="2:18" x14ac:dyDescent="0.3">
      <c r="B851" s="54" t="s">
        <v>19</v>
      </c>
      <c r="C851" s="54" t="s">
        <v>27</v>
      </c>
      <c r="E851" s="1">
        <v>573950</v>
      </c>
      <c r="F851" s="309">
        <v>22929</v>
      </c>
      <c r="G851" s="309">
        <v>1316000</v>
      </c>
      <c r="H851" s="368">
        <f t="shared" si="71"/>
        <v>3.6653030318943834E-3</v>
      </c>
      <c r="J851" s="1">
        <v>787200</v>
      </c>
      <c r="K851" s="309">
        <v>19563</v>
      </c>
      <c r="L851" s="309">
        <v>1540000</v>
      </c>
      <c r="M851" s="368">
        <f t="shared" si="72"/>
        <v>4.4742931188506739E-3</v>
      </c>
      <c r="O851" s="1">
        <v>730500</v>
      </c>
      <c r="P851" s="309">
        <v>16021</v>
      </c>
      <c r="Q851" s="309">
        <v>1170345</v>
      </c>
      <c r="R851" s="368">
        <f t="shared" si="73"/>
        <v>3.5116568933658736E-3</v>
      </c>
    </row>
    <row r="852" spans="2:18" x14ac:dyDescent="0.3">
      <c r="B852" s="54" t="s">
        <v>19</v>
      </c>
      <c r="C852" s="54" t="s">
        <v>1470</v>
      </c>
      <c r="E852" s="1">
        <v>253912</v>
      </c>
      <c r="F852" s="309">
        <v>684811</v>
      </c>
      <c r="G852" s="309">
        <v>17388177</v>
      </c>
      <c r="H852" s="368">
        <f t="shared" si="71"/>
        <v>9.6100387498871311E-3</v>
      </c>
      <c r="J852" s="1">
        <v>274355</v>
      </c>
      <c r="K852" s="309">
        <v>703530</v>
      </c>
      <c r="L852" s="309">
        <v>19301688</v>
      </c>
      <c r="M852" s="368">
        <f t="shared" si="72"/>
        <v>1.0135584389578867E-2</v>
      </c>
      <c r="O852" s="1">
        <v>298611</v>
      </c>
      <c r="P852" s="309">
        <v>652429</v>
      </c>
      <c r="Q852" s="309">
        <v>19482246</v>
      </c>
      <c r="R852" s="368">
        <f t="shared" si="73"/>
        <v>1.0118102819535632E-2</v>
      </c>
    </row>
    <row r="853" spans="2:18" x14ac:dyDescent="0.3">
      <c r="B853" s="54" t="s">
        <v>19</v>
      </c>
      <c r="C853" s="54" t="s">
        <v>26</v>
      </c>
      <c r="E853" s="1">
        <v>491600</v>
      </c>
      <c r="F853" s="309">
        <v>31225</v>
      </c>
      <c r="G853" s="309">
        <v>1535000</v>
      </c>
      <c r="H853" s="368">
        <f t="shared" si="71"/>
        <v>1.9884248594414853E-3</v>
      </c>
      <c r="J853" s="1">
        <v>503350</v>
      </c>
      <c r="K853" s="309">
        <v>37111</v>
      </c>
      <c r="L853" s="309">
        <v>1868000</v>
      </c>
      <c r="M853" s="368">
        <f t="shared" si="72"/>
        <v>2.5479635589487955E-3</v>
      </c>
      <c r="O853" s="1">
        <v>540000</v>
      </c>
      <c r="P853" s="309">
        <v>28426</v>
      </c>
      <c r="Q853" s="309">
        <v>1535000</v>
      </c>
      <c r="R853" s="368">
        <f t="shared" si="73"/>
        <v>2.0053891980119764E-3</v>
      </c>
    </row>
    <row r="854" spans="2:18" x14ac:dyDescent="0.3">
      <c r="B854" s="54" t="s">
        <v>1607</v>
      </c>
      <c r="C854" s="54" t="s">
        <v>28</v>
      </c>
      <c r="E854" s="1">
        <v>87000</v>
      </c>
      <c r="F854" s="309">
        <v>60691</v>
      </c>
      <c r="G854" s="309">
        <v>528010</v>
      </c>
      <c r="H854" s="368">
        <f t="shared" si="71"/>
        <v>1.8672630157985637E-3</v>
      </c>
      <c r="J854" s="1">
        <v>80442</v>
      </c>
      <c r="K854" s="309">
        <v>67690</v>
      </c>
      <c r="L854" s="309">
        <v>544510</v>
      </c>
      <c r="M854" s="368">
        <f t="shared" si="72"/>
        <v>1.8730991896853402E-3</v>
      </c>
      <c r="O854" s="1">
        <v>63944</v>
      </c>
      <c r="P854" s="309">
        <v>89536</v>
      </c>
      <c r="Q854" s="309">
        <v>572531</v>
      </c>
      <c r="R854" s="368">
        <f t="shared" si="73"/>
        <v>1.9130382314374193E-3</v>
      </c>
    </row>
    <row r="855" spans="2:18" x14ac:dyDescent="0.3">
      <c r="B855" s="54" t="s">
        <v>1607</v>
      </c>
      <c r="C855" s="54" t="s">
        <v>24</v>
      </c>
      <c r="E855" s="1">
        <v>89000</v>
      </c>
      <c r="F855" s="309">
        <v>10337</v>
      </c>
      <c r="G855" s="309">
        <v>92000</v>
      </c>
      <c r="H855" s="368">
        <f t="shared" si="71"/>
        <v>8.116612322050608E-5</v>
      </c>
      <c r="J855" s="1">
        <v>79692</v>
      </c>
      <c r="K855" s="309">
        <v>11293</v>
      </c>
      <c r="L855" s="309">
        <v>90000</v>
      </c>
      <c r="M855" s="368">
        <f t="shared" si="72"/>
        <v>8.0304780841801939E-5</v>
      </c>
      <c r="O855" s="1">
        <v>84083</v>
      </c>
      <c r="P855" s="309">
        <v>12250</v>
      </c>
      <c r="Q855" s="309">
        <v>103000</v>
      </c>
      <c r="R855" s="368">
        <f t="shared" si="73"/>
        <v>8.9904708907951898E-5</v>
      </c>
    </row>
    <row r="856" spans="2:18" x14ac:dyDescent="0.3">
      <c r="B856" s="54" t="s">
        <v>1607</v>
      </c>
      <c r="C856" s="54" t="s">
        <v>25</v>
      </c>
      <c r="E856" s="1">
        <v>0</v>
      </c>
      <c r="F856" s="309"/>
      <c r="G856" s="309">
        <v>0</v>
      </c>
      <c r="H856" s="368">
        <f t="shared" si="71"/>
        <v>0</v>
      </c>
      <c r="J856" s="1">
        <v>0</v>
      </c>
      <c r="K856" s="309"/>
      <c r="L856" s="309">
        <v>0</v>
      </c>
      <c r="M856" s="368">
        <f t="shared" si="72"/>
        <v>0</v>
      </c>
      <c r="O856" s="1">
        <v>0</v>
      </c>
      <c r="P856" s="309"/>
      <c r="Q856" s="309">
        <v>0</v>
      </c>
      <c r="R856" s="368">
        <f t="shared" si="73"/>
        <v>0</v>
      </c>
    </row>
    <row r="857" spans="2:18" x14ac:dyDescent="0.3">
      <c r="B857" s="54" t="s">
        <v>1607</v>
      </c>
      <c r="C857" s="54" t="s">
        <v>1468</v>
      </c>
      <c r="E857" s="1">
        <v>0</v>
      </c>
      <c r="F857" s="309"/>
      <c r="G857" s="309">
        <v>0</v>
      </c>
      <c r="H857" s="368">
        <f t="shared" si="71"/>
        <v>0</v>
      </c>
      <c r="J857" s="1">
        <v>0</v>
      </c>
      <c r="K857" s="309"/>
      <c r="L857" s="309">
        <v>0</v>
      </c>
      <c r="M857" s="368">
        <f t="shared" si="72"/>
        <v>0</v>
      </c>
      <c r="O857" s="1">
        <v>0</v>
      </c>
      <c r="P857" s="309"/>
      <c r="Q857" s="309">
        <v>0</v>
      </c>
      <c r="R857" s="368">
        <f t="shared" si="73"/>
        <v>0</v>
      </c>
    </row>
    <row r="858" spans="2:18" x14ac:dyDescent="0.3">
      <c r="B858" s="54" t="s">
        <v>1607</v>
      </c>
      <c r="C858" s="54" t="s">
        <v>1470</v>
      </c>
      <c r="E858" s="1">
        <v>0</v>
      </c>
      <c r="F858" s="309"/>
      <c r="G858" s="309">
        <v>0</v>
      </c>
      <c r="H858" s="368">
        <f t="shared" si="71"/>
        <v>0</v>
      </c>
      <c r="J858" s="1">
        <v>0</v>
      </c>
      <c r="K858" s="309"/>
      <c r="L858" s="309">
        <v>0</v>
      </c>
      <c r="M858" s="368">
        <f t="shared" si="72"/>
        <v>0</v>
      </c>
      <c r="O858" s="1">
        <v>0</v>
      </c>
      <c r="P858" s="309"/>
      <c r="Q858" s="309">
        <v>0</v>
      </c>
      <c r="R858" s="368">
        <f t="shared" si="73"/>
        <v>0</v>
      </c>
    </row>
    <row r="859" spans="2:18" x14ac:dyDescent="0.3">
      <c r="B859" s="54" t="s">
        <v>1607</v>
      </c>
      <c r="C859" s="54" t="s">
        <v>26</v>
      </c>
      <c r="E859" s="1">
        <v>0</v>
      </c>
      <c r="F859" s="309"/>
      <c r="G859" s="309">
        <v>0</v>
      </c>
      <c r="H859" s="368">
        <f t="shared" si="71"/>
        <v>0</v>
      </c>
      <c r="J859" s="1">
        <v>0</v>
      </c>
      <c r="K859" s="309"/>
      <c r="L859" s="309">
        <v>0</v>
      </c>
      <c r="M859" s="368">
        <f t="shared" si="72"/>
        <v>0</v>
      </c>
      <c r="O859" s="1">
        <v>0</v>
      </c>
      <c r="P859" s="309"/>
      <c r="Q859" s="309">
        <v>0</v>
      </c>
      <c r="R859" s="368">
        <f t="shared" si="73"/>
        <v>0</v>
      </c>
    </row>
    <row r="860" spans="2:18" x14ac:dyDescent="0.3">
      <c r="B860" s="54" t="s">
        <v>519</v>
      </c>
      <c r="C860" s="54" t="s">
        <v>24</v>
      </c>
      <c r="E860" s="1">
        <v>333628</v>
      </c>
      <c r="F860" s="309">
        <v>113169</v>
      </c>
      <c r="G860" s="309">
        <v>3775645</v>
      </c>
      <c r="H860" s="368">
        <f t="shared" si="71"/>
        <v>3.3310268185531271E-3</v>
      </c>
      <c r="J860" s="1">
        <v>322370</v>
      </c>
      <c r="K860" s="309">
        <v>119196</v>
      </c>
      <c r="L860" s="309">
        <v>3842520</v>
      </c>
      <c r="M860" s="368">
        <f t="shared" si="72"/>
        <v>3.4285858497804531E-3</v>
      </c>
      <c r="O860" s="1">
        <v>356830</v>
      </c>
      <c r="P860" s="309">
        <v>117268</v>
      </c>
      <c r="Q860" s="309">
        <v>4184460</v>
      </c>
      <c r="R860" s="368">
        <f t="shared" si="73"/>
        <v>3.6524529925919262E-3</v>
      </c>
    </row>
    <row r="861" spans="2:18" x14ac:dyDescent="0.3">
      <c r="B861" s="54" t="s">
        <v>519</v>
      </c>
      <c r="C861" s="54" t="s">
        <v>25</v>
      </c>
      <c r="E861" s="1">
        <v>70878</v>
      </c>
      <c r="F861" s="309">
        <v>315961</v>
      </c>
      <c r="G861" s="309">
        <v>2239470</v>
      </c>
      <c r="H861" s="368">
        <f t="shared" si="71"/>
        <v>6.0605915124001299E-3</v>
      </c>
      <c r="J861" s="1">
        <v>67490</v>
      </c>
      <c r="K861" s="309">
        <v>297960</v>
      </c>
      <c r="L861" s="309">
        <v>2010930</v>
      </c>
      <c r="M861" s="368">
        <f t="shared" si="72"/>
        <v>5.5142000227419996E-3</v>
      </c>
      <c r="O861" s="1">
        <v>66650</v>
      </c>
      <c r="P861" s="309">
        <v>338983</v>
      </c>
      <c r="Q861" s="309">
        <v>2259320</v>
      </c>
      <c r="R861" s="368">
        <f t="shared" si="73"/>
        <v>6.1092953126117237E-3</v>
      </c>
    </row>
    <row r="862" spans="2:18" x14ac:dyDescent="0.3">
      <c r="B862" s="54" t="s">
        <v>519</v>
      </c>
      <c r="C862" s="54" t="s">
        <v>1468</v>
      </c>
      <c r="E862" s="1">
        <v>107604</v>
      </c>
      <c r="F862" s="309">
        <v>77616</v>
      </c>
      <c r="G862" s="309">
        <v>835178</v>
      </c>
      <c r="H862" s="368">
        <f t="shared" si="71"/>
        <v>1.1780861148960836E-3</v>
      </c>
      <c r="J862" s="1">
        <v>105010</v>
      </c>
      <c r="K862" s="309">
        <v>76077</v>
      </c>
      <c r="L862" s="309">
        <v>798880</v>
      </c>
      <c r="M862" s="368">
        <f t="shared" si="72"/>
        <v>1.1114882684749269E-3</v>
      </c>
      <c r="O862" s="1">
        <v>103370</v>
      </c>
      <c r="P862" s="309">
        <v>75339</v>
      </c>
      <c r="Q862" s="309">
        <v>778780</v>
      </c>
      <c r="R862" s="368">
        <f t="shared" si="73"/>
        <v>1.0938011187485146E-3</v>
      </c>
    </row>
    <row r="863" spans="2:18" x14ac:dyDescent="0.3">
      <c r="B863" s="54" t="s">
        <v>519</v>
      </c>
      <c r="C863" s="54" t="s">
        <v>27</v>
      </c>
      <c r="E863" s="1">
        <v>1692</v>
      </c>
      <c r="F863" s="309">
        <v>27181</v>
      </c>
      <c r="G863" s="309">
        <v>4599</v>
      </c>
      <c r="H863" s="368">
        <f t="shared" si="71"/>
        <v>1.28090643189075E-5</v>
      </c>
      <c r="J863" s="1">
        <v>1480</v>
      </c>
      <c r="K863" s="309">
        <v>29392</v>
      </c>
      <c r="L863" s="309">
        <v>4350</v>
      </c>
      <c r="M863" s="368">
        <f t="shared" si="72"/>
        <v>1.2638425368182099E-5</v>
      </c>
      <c r="O863" s="1">
        <v>1570</v>
      </c>
      <c r="P863" s="309">
        <v>32930</v>
      </c>
      <c r="Q863" s="309">
        <v>5170</v>
      </c>
      <c r="R863" s="368">
        <f t="shared" si="73"/>
        <v>1.5512747214455196E-5</v>
      </c>
    </row>
    <row r="864" spans="2:18" x14ac:dyDescent="0.3">
      <c r="B864" s="54" t="s">
        <v>519</v>
      </c>
      <c r="C864" s="54" t="s">
        <v>1469</v>
      </c>
      <c r="E864" s="1">
        <v>36671</v>
      </c>
      <c r="F864" s="309">
        <v>897917</v>
      </c>
      <c r="G864" s="309">
        <v>3292750</v>
      </c>
      <c r="H864" s="368">
        <f t="shared" si="71"/>
        <v>1.0486818914990004E-2</v>
      </c>
      <c r="J864" s="1">
        <v>35300</v>
      </c>
      <c r="K864" s="309">
        <v>813289</v>
      </c>
      <c r="L864" s="309">
        <v>2870910</v>
      </c>
      <c r="M864" s="368">
        <f t="shared" si="72"/>
        <v>1.0488807910269019E-2</v>
      </c>
      <c r="O864" s="1">
        <v>30180</v>
      </c>
      <c r="P864" s="309">
        <v>912097</v>
      </c>
      <c r="Q864" s="309">
        <v>2752710</v>
      </c>
      <c r="R864" s="368">
        <f t="shared" si="73"/>
        <v>9.8841291416189095E-3</v>
      </c>
    </row>
    <row r="865" spans="2:18" x14ac:dyDescent="0.3">
      <c r="B865" s="54" t="s">
        <v>519</v>
      </c>
      <c r="C865" s="54" t="s">
        <v>1470</v>
      </c>
      <c r="E865" s="1">
        <v>19</v>
      </c>
      <c r="F865" s="309">
        <v>578947</v>
      </c>
      <c r="G865" s="309">
        <v>1100</v>
      </c>
      <c r="H865" s="368">
        <f t="shared" si="71"/>
        <v>6.0794427298939072E-7</v>
      </c>
      <c r="J865" s="1"/>
      <c r="K865" s="309"/>
      <c r="L865" s="309"/>
      <c r="M865" s="368">
        <f t="shared" si="72"/>
        <v>0</v>
      </c>
      <c r="O865" s="1"/>
      <c r="P865" s="309"/>
      <c r="Q865" s="309"/>
      <c r="R865" s="368">
        <f t="shared" si="73"/>
        <v>0</v>
      </c>
    </row>
    <row r="866" spans="2:18" x14ac:dyDescent="0.3">
      <c r="B866" s="54" t="s">
        <v>519</v>
      </c>
      <c r="C866" s="54" t="s">
        <v>26</v>
      </c>
      <c r="E866" s="1">
        <v>2096058</v>
      </c>
      <c r="F866" s="309">
        <v>23263</v>
      </c>
      <c r="G866" s="309">
        <v>4875957</v>
      </c>
      <c r="H866" s="368">
        <f t="shared" si="71"/>
        <v>6.3162697800441207E-3</v>
      </c>
      <c r="J866" s="1">
        <v>2063680</v>
      </c>
      <c r="K866" s="309">
        <v>40328</v>
      </c>
      <c r="L866" s="309">
        <v>8322510</v>
      </c>
      <c r="M866" s="368">
        <f t="shared" si="72"/>
        <v>1.1351955138643972E-2</v>
      </c>
      <c r="O866" s="1">
        <v>1920090</v>
      </c>
      <c r="P866" s="309">
        <v>31463</v>
      </c>
      <c r="Q866" s="309">
        <v>6041170</v>
      </c>
      <c r="R866" s="368">
        <f t="shared" si="73"/>
        <v>7.8924410823153178E-3</v>
      </c>
    </row>
    <row r="867" spans="2:18" x14ac:dyDescent="0.3">
      <c r="B867" s="54" t="s">
        <v>1608</v>
      </c>
      <c r="C867" s="54" t="s">
        <v>28</v>
      </c>
      <c r="E867" s="1">
        <v>22087</v>
      </c>
      <c r="F867" s="309">
        <v>138700</v>
      </c>
      <c r="G867" s="309">
        <v>306347</v>
      </c>
      <c r="H867" s="368">
        <f t="shared" si="71"/>
        <v>1.0833704344630642E-3</v>
      </c>
      <c r="J867" s="1">
        <v>22360</v>
      </c>
      <c r="K867" s="309">
        <v>144503</v>
      </c>
      <c r="L867" s="309">
        <v>323108</v>
      </c>
      <c r="M867" s="368">
        <f t="shared" si="72"/>
        <v>1.111482494317553E-3</v>
      </c>
      <c r="O867" s="1">
        <v>20592</v>
      </c>
      <c r="P867" s="309">
        <v>136497</v>
      </c>
      <c r="Q867" s="309">
        <v>281075</v>
      </c>
      <c r="R867" s="368">
        <f t="shared" si="73"/>
        <v>9.3917573179665842E-4</v>
      </c>
    </row>
    <row r="868" spans="2:18" x14ac:dyDescent="0.3">
      <c r="B868" s="54" t="s">
        <v>1608</v>
      </c>
      <c r="C868" s="54" t="s">
        <v>24</v>
      </c>
      <c r="E868" s="1">
        <v>52544</v>
      </c>
      <c r="F868" s="309">
        <v>37253</v>
      </c>
      <c r="G868" s="309">
        <v>195744</v>
      </c>
      <c r="H868" s="368">
        <f t="shared" si="71"/>
        <v>1.7269327851820372E-4</v>
      </c>
      <c r="J868" s="1">
        <v>70895</v>
      </c>
      <c r="K868" s="309">
        <v>38090</v>
      </c>
      <c r="L868" s="309">
        <v>270041</v>
      </c>
      <c r="M868" s="368">
        <f t="shared" si="72"/>
        <v>2.4095092581445594E-4</v>
      </c>
      <c r="O868" s="1">
        <v>63449</v>
      </c>
      <c r="P868" s="309">
        <v>38716</v>
      </c>
      <c r="Q868" s="309">
        <v>245647</v>
      </c>
      <c r="R868" s="368">
        <f t="shared" si="73"/>
        <v>2.1441574785545302E-4</v>
      </c>
    </row>
    <row r="869" spans="2:18" x14ac:dyDescent="0.3">
      <c r="B869" s="54" t="s">
        <v>1608</v>
      </c>
      <c r="C869" s="54" t="s">
        <v>25</v>
      </c>
      <c r="E869" s="1">
        <v>4457</v>
      </c>
      <c r="F869" s="309">
        <v>164591</v>
      </c>
      <c r="G869" s="309">
        <v>73358</v>
      </c>
      <c r="H869" s="368">
        <f t="shared" si="71"/>
        <v>1.9852593344257734E-4</v>
      </c>
      <c r="J869" s="1">
        <v>5174</v>
      </c>
      <c r="K869" s="309">
        <v>171815</v>
      </c>
      <c r="L869" s="309">
        <v>88897</v>
      </c>
      <c r="M869" s="368">
        <f t="shared" si="72"/>
        <v>2.4376573994206439E-4</v>
      </c>
      <c r="O869" s="1">
        <v>5432</v>
      </c>
      <c r="P869" s="309">
        <v>187117</v>
      </c>
      <c r="Q869" s="309">
        <v>101642</v>
      </c>
      <c r="R869" s="368">
        <f t="shared" si="73"/>
        <v>2.7484419832714301E-4</v>
      </c>
    </row>
    <row r="870" spans="2:18" x14ac:dyDescent="0.3">
      <c r="B870" s="54" t="s">
        <v>1608</v>
      </c>
      <c r="C870" s="54" t="s">
        <v>1468</v>
      </c>
      <c r="E870" s="1">
        <v>791679</v>
      </c>
      <c r="F870" s="309">
        <v>30103</v>
      </c>
      <c r="G870" s="309">
        <v>2383153</v>
      </c>
      <c r="H870" s="368">
        <f t="shared" si="71"/>
        <v>3.3616300464966108E-3</v>
      </c>
      <c r="J870" s="1">
        <v>1040954</v>
      </c>
      <c r="K870" s="309">
        <v>37752</v>
      </c>
      <c r="L870" s="309">
        <v>3929831</v>
      </c>
      <c r="M870" s="368">
        <f t="shared" si="72"/>
        <v>5.4676059653378361E-3</v>
      </c>
      <c r="O870" s="1">
        <v>957596</v>
      </c>
      <c r="P870" s="309">
        <v>47954</v>
      </c>
      <c r="Q870" s="309">
        <v>4592056</v>
      </c>
      <c r="R870" s="368">
        <f t="shared" si="73"/>
        <v>6.4495698273656608E-3</v>
      </c>
    </row>
    <row r="871" spans="2:18" x14ac:dyDescent="0.3">
      <c r="B871" s="54" t="s">
        <v>1608</v>
      </c>
      <c r="C871" s="54" t="s">
        <v>27</v>
      </c>
      <c r="E871" s="1">
        <v>8316</v>
      </c>
      <c r="F871" s="309">
        <v>17272</v>
      </c>
      <c r="G871" s="309">
        <v>14363</v>
      </c>
      <c r="H871" s="368">
        <f t="shared" si="71"/>
        <v>4.0003607482598048E-5</v>
      </c>
      <c r="J871" s="1">
        <v>1511</v>
      </c>
      <c r="K871" s="309">
        <v>16545</v>
      </c>
      <c r="L871" s="309">
        <v>2500</v>
      </c>
      <c r="M871" s="368">
        <f t="shared" si="72"/>
        <v>7.2634628552770683E-6</v>
      </c>
      <c r="O871" s="1">
        <v>914</v>
      </c>
      <c r="P871" s="309">
        <v>24037</v>
      </c>
      <c r="Q871" s="309">
        <v>2197</v>
      </c>
      <c r="R871" s="368">
        <f t="shared" si="73"/>
        <v>6.592167433299433E-6</v>
      </c>
    </row>
    <row r="872" spans="2:18" x14ac:dyDescent="0.3">
      <c r="B872" s="54" t="s">
        <v>1608</v>
      </c>
      <c r="C872" s="54" t="s">
        <v>1470</v>
      </c>
      <c r="E872" s="1">
        <v>17900</v>
      </c>
      <c r="F872" s="309">
        <v>365655</v>
      </c>
      <c r="G872" s="309">
        <v>654522</v>
      </c>
      <c r="H872" s="368">
        <f t="shared" si="71"/>
        <v>3.6173900131414728E-4</v>
      </c>
      <c r="J872" s="1">
        <v>15732</v>
      </c>
      <c r="K872" s="309">
        <v>409856</v>
      </c>
      <c r="L872" s="309">
        <v>644785</v>
      </c>
      <c r="M872" s="368">
        <f t="shared" si="72"/>
        <v>3.3858555690230874E-4</v>
      </c>
      <c r="O872" s="1">
        <v>12960</v>
      </c>
      <c r="P872" s="309">
        <v>503899</v>
      </c>
      <c r="Q872" s="309">
        <v>653053</v>
      </c>
      <c r="R872" s="368">
        <f t="shared" si="73"/>
        <v>3.391630205575991E-4</v>
      </c>
    </row>
    <row r="873" spans="2:18" x14ac:dyDescent="0.3">
      <c r="B873" s="54" t="s">
        <v>1609</v>
      </c>
      <c r="C873" s="54" t="s">
        <v>28</v>
      </c>
      <c r="E873" s="1">
        <v>0</v>
      </c>
      <c r="F873" s="309"/>
      <c r="G873" s="309">
        <v>0</v>
      </c>
      <c r="H873" s="368">
        <f t="shared" si="71"/>
        <v>0</v>
      </c>
      <c r="J873" s="1">
        <v>0</v>
      </c>
      <c r="K873" s="309"/>
      <c r="L873" s="309">
        <v>0</v>
      </c>
      <c r="M873" s="368">
        <f t="shared" si="72"/>
        <v>0</v>
      </c>
      <c r="O873" s="1">
        <v>0</v>
      </c>
      <c r="P873" s="309"/>
      <c r="Q873" s="309">
        <v>0</v>
      </c>
      <c r="R873" s="368">
        <f t="shared" si="73"/>
        <v>0</v>
      </c>
    </row>
    <row r="874" spans="2:18" x14ac:dyDescent="0.3">
      <c r="B874" s="54" t="s">
        <v>1609</v>
      </c>
      <c r="C874" s="54" t="s">
        <v>24</v>
      </c>
      <c r="E874" s="1">
        <v>12598</v>
      </c>
      <c r="F874" s="309">
        <v>13494</v>
      </c>
      <c r="G874" s="309">
        <v>17000</v>
      </c>
      <c r="H874" s="368">
        <f t="shared" si="71"/>
        <v>1.4998087986397864E-5</v>
      </c>
      <c r="J874" s="1">
        <v>30660</v>
      </c>
      <c r="K874" s="309">
        <v>15003</v>
      </c>
      <c r="L874" s="309">
        <v>46000</v>
      </c>
      <c r="M874" s="368">
        <f t="shared" si="72"/>
        <v>4.1044665763587653E-5</v>
      </c>
      <c r="O874" s="1">
        <v>24360</v>
      </c>
      <c r="P874" s="309">
        <v>10263</v>
      </c>
      <c r="Q874" s="309">
        <v>25000</v>
      </c>
      <c r="R874" s="368">
        <f t="shared" si="73"/>
        <v>2.1821531288337838E-5</v>
      </c>
    </row>
    <row r="875" spans="2:18" x14ac:dyDescent="0.3">
      <c r="B875" s="54" t="s">
        <v>1609</v>
      </c>
      <c r="C875" s="54" t="s">
        <v>25</v>
      </c>
      <c r="E875" s="1">
        <v>31625</v>
      </c>
      <c r="F875" s="309">
        <v>132371</v>
      </c>
      <c r="G875" s="309">
        <v>418622</v>
      </c>
      <c r="H875" s="368">
        <f t="shared" si="71"/>
        <v>1.1329006149240521E-3</v>
      </c>
      <c r="J875" s="1">
        <v>33206</v>
      </c>
      <c r="K875" s="309">
        <v>132372</v>
      </c>
      <c r="L875" s="309">
        <v>439554</v>
      </c>
      <c r="M875" s="368">
        <f t="shared" si="72"/>
        <v>1.2053073338188485E-3</v>
      </c>
      <c r="O875" s="1">
        <v>35199</v>
      </c>
      <c r="P875" s="309">
        <v>132369</v>
      </c>
      <c r="Q875" s="309">
        <v>465927</v>
      </c>
      <c r="R875" s="368">
        <f t="shared" si="73"/>
        <v>1.2598859998226202E-3</v>
      </c>
    </row>
    <row r="876" spans="2:18" x14ac:dyDescent="0.3">
      <c r="B876" s="54" t="s">
        <v>1609</v>
      </c>
      <c r="C876" s="54" t="s">
        <v>1468</v>
      </c>
      <c r="E876" s="1">
        <v>11760</v>
      </c>
      <c r="F876" s="309">
        <v>27211</v>
      </c>
      <c r="G876" s="309">
        <v>32000</v>
      </c>
      <c r="H876" s="368">
        <f t="shared" si="71"/>
        <v>4.513858803353857E-5</v>
      </c>
      <c r="J876" s="1">
        <v>11370</v>
      </c>
      <c r="K876" s="309">
        <v>26385</v>
      </c>
      <c r="L876" s="309">
        <v>30000</v>
      </c>
      <c r="M876" s="368">
        <f t="shared" si="72"/>
        <v>4.173924501082491E-5</v>
      </c>
      <c r="O876" s="1">
        <v>11540</v>
      </c>
      <c r="P876" s="309">
        <v>27730</v>
      </c>
      <c r="Q876" s="309">
        <v>32000</v>
      </c>
      <c r="R876" s="368">
        <f t="shared" si="73"/>
        <v>4.4944189373061031E-5</v>
      </c>
    </row>
    <row r="877" spans="2:18" x14ac:dyDescent="0.3">
      <c r="B877" s="54" t="s">
        <v>1609</v>
      </c>
      <c r="C877" s="54" t="s">
        <v>1470</v>
      </c>
      <c r="E877" s="1">
        <v>82200</v>
      </c>
      <c r="F877" s="309">
        <v>788564</v>
      </c>
      <c r="G877" s="309">
        <v>6482000</v>
      </c>
      <c r="H877" s="368">
        <f t="shared" si="71"/>
        <v>3.5824497977429369E-3</v>
      </c>
      <c r="J877" s="1">
        <v>72800</v>
      </c>
      <c r="K877" s="309">
        <v>835714</v>
      </c>
      <c r="L877" s="309">
        <v>6084000</v>
      </c>
      <c r="M877" s="368">
        <f t="shared" si="72"/>
        <v>3.1947928816483729E-3</v>
      </c>
      <c r="O877" s="1">
        <v>71100</v>
      </c>
      <c r="P877" s="309">
        <v>766385</v>
      </c>
      <c r="Q877" s="309">
        <v>5449000</v>
      </c>
      <c r="R877" s="368">
        <f t="shared" si="73"/>
        <v>2.8299376911496577E-3</v>
      </c>
    </row>
    <row r="878" spans="2:18" x14ac:dyDescent="0.3">
      <c r="B878" s="54" t="s">
        <v>1609</v>
      </c>
      <c r="C878" s="54" t="s">
        <v>26</v>
      </c>
      <c r="E878" s="1">
        <v>172200</v>
      </c>
      <c r="F878" s="309">
        <v>26887</v>
      </c>
      <c r="G878" s="309">
        <v>463000</v>
      </c>
      <c r="H878" s="368">
        <f t="shared" si="71"/>
        <v>5.9976593480221994E-4</v>
      </c>
      <c r="J878" s="1">
        <v>286860</v>
      </c>
      <c r="K878" s="309">
        <v>24472</v>
      </c>
      <c r="L878" s="309">
        <v>702000</v>
      </c>
      <c r="M878" s="368">
        <f t="shared" si="72"/>
        <v>9.5753234388760945E-4</v>
      </c>
      <c r="O878" s="1">
        <v>303660</v>
      </c>
      <c r="P878" s="309">
        <v>23908</v>
      </c>
      <c r="Q878" s="309">
        <v>726000</v>
      </c>
      <c r="R878" s="368">
        <f t="shared" si="73"/>
        <v>9.4847723632357982E-4</v>
      </c>
    </row>
    <row r="879" spans="2:18" x14ac:dyDescent="0.3">
      <c r="B879" s="54" t="s">
        <v>1610</v>
      </c>
      <c r="C879" s="54" t="s">
        <v>28</v>
      </c>
      <c r="E879" s="1">
        <v>285</v>
      </c>
      <c r="F879" s="309">
        <v>268737</v>
      </c>
      <c r="G879" s="309">
        <v>7659</v>
      </c>
      <c r="H879" s="368">
        <f t="shared" si="71"/>
        <v>2.7085410196778846E-5</v>
      </c>
      <c r="J879" s="1">
        <v>288</v>
      </c>
      <c r="K879" s="309">
        <v>283681</v>
      </c>
      <c r="L879" s="309">
        <v>8170</v>
      </c>
      <c r="M879" s="368">
        <f t="shared" si="72"/>
        <v>2.8104571779635321E-5</v>
      </c>
      <c r="O879" s="1">
        <v>282</v>
      </c>
      <c r="P879" s="309">
        <v>275993</v>
      </c>
      <c r="Q879" s="309">
        <v>7783</v>
      </c>
      <c r="R879" s="368">
        <f t="shared" si="73"/>
        <v>2.6005887114020784E-5</v>
      </c>
    </row>
    <row r="880" spans="2:18" x14ac:dyDescent="0.3">
      <c r="B880" s="54" t="s">
        <v>1610</v>
      </c>
      <c r="C880" s="54" t="s">
        <v>24</v>
      </c>
      <c r="E880" s="1">
        <v>36</v>
      </c>
      <c r="F880" s="309">
        <v>23889</v>
      </c>
      <c r="G880" s="309">
        <v>86</v>
      </c>
      <c r="H880" s="368">
        <f t="shared" si="71"/>
        <v>7.5872680401777424E-8</v>
      </c>
      <c r="J880" s="1">
        <v>34</v>
      </c>
      <c r="K880" s="309">
        <v>25000</v>
      </c>
      <c r="L880" s="309">
        <v>85</v>
      </c>
      <c r="M880" s="368">
        <f t="shared" si="72"/>
        <v>7.5843404128368488E-8</v>
      </c>
      <c r="O880" s="1">
        <v>54</v>
      </c>
      <c r="P880" s="309">
        <v>26296</v>
      </c>
      <c r="Q880" s="309">
        <v>142</v>
      </c>
      <c r="R880" s="368">
        <f t="shared" si="73"/>
        <v>1.2394629771775892E-7</v>
      </c>
    </row>
    <row r="881" spans="2:18" x14ac:dyDescent="0.3">
      <c r="B881" s="54" t="s">
        <v>1610</v>
      </c>
      <c r="C881" s="54" t="s">
        <v>1472</v>
      </c>
      <c r="E881" s="1">
        <v>601</v>
      </c>
      <c r="F881" s="309">
        <v>19967</v>
      </c>
      <c r="G881" s="309">
        <v>1200</v>
      </c>
      <c r="H881" s="368">
        <f t="shared" si="71"/>
        <v>2.9977877750169569E-6</v>
      </c>
      <c r="J881" s="1">
        <v>602</v>
      </c>
      <c r="K881" s="309">
        <v>19934</v>
      </c>
      <c r="L881" s="309">
        <v>1200</v>
      </c>
      <c r="M881" s="368">
        <f t="shared" si="72"/>
        <v>2.9733636863548903E-6</v>
      </c>
      <c r="O881" s="1">
        <v>563</v>
      </c>
      <c r="P881" s="309">
        <v>19929</v>
      </c>
      <c r="Q881" s="309">
        <v>1122</v>
      </c>
      <c r="R881" s="368">
        <f t="shared" si="73"/>
        <v>2.731943114847392E-6</v>
      </c>
    </row>
    <row r="882" spans="2:18" x14ac:dyDescent="0.3">
      <c r="B882" s="54" t="s">
        <v>1610</v>
      </c>
      <c r="C882" s="54" t="s">
        <v>1468</v>
      </c>
      <c r="E882" s="1">
        <v>59304</v>
      </c>
      <c r="F882" s="309">
        <v>48805</v>
      </c>
      <c r="G882" s="309">
        <v>289431</v>
      </c>
      <c r="H882" s="368">
        <f t="shared" si="71"/>
        <v>4.0826583353547192E-4</v>
      </c>
      <c r="J882" s="1">
        <v>56248</v>
      </c>
      <c r="K882" s="309">
        <v>48698</v>
      </c>
      <c r="L882" s="309">
        <v>273916</v>
      </c>
      <c r="M882" s="368">
        <f t="shared" si="72"/>
        <v>3.811015678795039E-4</v>
      </c>
      <c r="O882" s="1">
        <v>60185</v>
      </c>
      <c r="P882" s="309">
        <v>45570</v>
      </c>
      <c r="Q882" s="309">
        <v>274266</v>
      </c>
      <c r="R882" s="368">
        <f t="shared" si="73"/>
        <v>3.8520822008099862E-4</v>
      </c>
    </row>
    <row r="883" spans="2:18" x14ac:dyDescent="0.3">
      <c r="B883" s="54" t="s">
        <v>1610</v>
      </c>
      <c r="C883" s="54" t="s">
        <v>27</v>
      </c>
      <c r="E883" s="1">
        <v>7</v>
      </c>
      <c r="F883" s="309">
        <v>10000</v>
      </c>
      <c r="G883" s="309">
        <v>7</v>
      </c>
      <c r="H883" s="368">
        <f t="shared" si="71"/>
        <v>1.9496292722842467E-8</v>
      </c>
      <c r="J883" s="1">
        <v>7</v>
      </c>
      <c r="K883" s="309">
        <v>10000</v>
      </c>
      <c r="L883" s="309">
        <v>7</v>
      </c>
      <c r="M883" s="368">
        <f t="shared" si="72"/>
        <v>2.0337695994775791E-8</v>
      </c>
      <c r="O883" s="1">
        <v>11</v>
      </c>
      <c r="P883" s="309">
        <v>10000</v>
      </c>
      <c r="Q883" s="309">
        <v>11</v>
      </c>
      <c r="R883" s="368">
        <f t="shared" si="73"/>
        <v>3.3005845137138715E-8</v>
      </c>
    </row>
    <row r="884" spans="2:18" x14ac:dyDescent="0.3">
      <c r="B884" s="54" t="s">
        <v>1610</v>
      </c>
      <c r="C884" s="54" t="s">
        <v>1470</v>
      </c>
      <c r="E884" s="1">
        <v>3056</v>
      </c>
      <c r="F884" s="309">
        <v>399067</v>
      </c>
      <c r="G884" s="309">
        <v>121955</v>
      </c>
      <c r="H884" s="368">
        <f t="shared" si="71"/>
        <v>6.7401676193110132E-5</v>
      </c>
      <c r="J884" s="1">
        <v>3079</v>
      </c>
      <c r="K884" s="309">
        <v>398902</v>
      </c>
      <c r="L884" s="309">
        <v>122822</v>
      </c>
      <c r="M884" s="368">
        <f t="shared" si="72"/>
        <v>6.4495537690633877E-5</v>
      </c>
      <c r="O884" s="1">
        <v>3103</v>
      </c>
      <c r="P884" s="309">
        <v>398614</v>
      </c>
      <c r="Q884" s="309">
        <v>123690</v>
      </c>
      <c r="R884" s="368">
        <f t="shared" si="73"/>
        <v>6.4238391084290919E-5</v>
      </c>
    </row>
    <row r="885" spans="2:18" x14ac:dyDescent="0.3">
      <c r="B885" s="54" t="s">
        <v>1611</v>
      </c>
      <c r="C885" s="54" t="s">
        <v>24</v>
      </c>
      <c r="E885" s="1"/>
      <c r="F885" s="309"/>
      <c r="G885" s="309"/>
      <c r="H885" s="368">
        <f t="shared" si="71"/>
        <v>0</v>
      </c>
      <c r="J885" s="1">
        <v>1110</v>
      </c>
      <c r="K885" s="309">
        <v>41441</v>
      </c>
      <c r="L885" s="309">
        <v>4600</v>
      </c>
      <c r="M885" s="368">
        <f t="shared" si="72"/>
        <v>4.1044665763587652E-6</v>
      </c>
      <c r="O885" s="1">
        <v>1620</v>
      </c>
      <c r="P885" s="309">
        <v>69753</v>
      </c>
      <c r="Q885" s="309">
        <v>11300</v>
      </c>
      <c r="R885" s="368">
        <f t="shared" si="73"/>
        <v>9.863332142328703E-6</v>
      </c>
    </row>
    <row r="886" spans="2:18" x14ac:dyDescent="0.3">
      <c r="B886" s="54" t="s">
        <v>1611</v>
      </c>
      <c r="C886" s="54" t="s">
        <v>25</v>
      </c>
      <c r="E886" s="1">
        <v>24570</v>
      </c>
      <c r="F886" s="309">
        <v>346968</v>
      </c>
      <c r="G886" s="309">
        <v>852500</v>
      </c>
      <c r="H886" s="368">
        <f t="shared" si="71"/>
        <v>2.3070879557757461E-3</v>
      </c>
      <c r="J886" s="1">
        <v>23910</v>
      </c>
      <c r="K886" s="309">
        <v>302384</v>
      </c>
      <c r="L886" s="309">
        <v>723000</v>
      </c>
      <c r="M886" s="368">
        <f t="shared" si="72"/>
        <v>1.9825486796867446E-3</v>
      </c>
      <c r="O886" s="1">
        <v>23650</v>
      </c>
      <c r="P886" s="309">
        <v>358097</v>
      </c>
      <c r="Q886" s="309">
        <v>846900</v>
      </c>
      <c r="R886" s="368">
        <f t="shared" si="73"/>
        <v>2.2900528478705402E-3</v>
      </c>
    </row>
    <row r="887" spans="2:18" x14ac:dyDescent="0.3">
      <c r="B887" s="54" t="s">
        <v>1611</v>
      </c>
      <c r="C887" s="54" t="s">
        <v>1468</v>
      </c>
      <c r="E887" s="1"/>
      <c r="F887" s="309"/>
      <c r="G887" s="309"/>
      <c r="H887" s="368">
        <f t="shared" si="71"/>
        <v>0</v>
      </c>
      <c r="J887" s="1">
        <v>0</v>
      </c>
      <c r="K887" s="309"/>
      <c r="L887" s="309">
        <v>0</v>
      </c>
      <c r="M887" s="368">
        <f t="shared" si="72"/>
        <v>0</v>
      </c>
      <c r="O887" s="1">
        <v>0</v>
      </c>
      <c r="P887" s="309"/>
      <c r="Q887" s="309">
        <v>0</v>
      </c>
      <c r="R887" s="368">
        <f t="shared" si="73"/>
        <v>0</v>
      </c>
    </row>
    <row r="888" spans="2:18" x14ac:dyDescent="0.3">
      <c r="B888" s="54" t="s">
        <v>1611</v>
      </c>
      <c r="C888" s="54" t="s">
        <v>1469</v>
      </c>
      <c r="E888" s="1">
        <v>30990</v>
      </c>
      <c r="F888" s="309">
        <v>633591</v>
      </c>
      <c r="G888" s="309">
        <v>1963500</v>
      </c>
      <c r="H888" s="368">
        <f t="shared" si="71"/>
        <v>6.253395775440854E-3</v>
      </c>
      <c r="J888" s="1">
        <v>30640</v>
      </c>
      <c r="K888" s="309">
        <v>554308</v>
      </c>
      <c r="L888" s="309">
        <v>1698400</v>
      </c>
      <c r="M888" s="368">
        <f t="shared" si="72"/>
        <v>6.2050678547223362E-3</v>
      </c>
      <c r="O888" s="1">
        <v>27160</v>
      </c>
      <c r="P888" s="309">
        <v>747018</v>
      </c>
      <c r="Q888" s="309">
        <v>2028900</v>
      </c>
      <c r="R888" s="368">
        <f t="shared" si="73"/>
        <v>7.2851515835052017E-3</v>
      </c>
    </row>
    <row r="889" spans="2:18" x14ac:dyDescent="0.3">
      <c r="B889" s="54" t="s">
        <v>1611</v>
      </c>
      <c r="C889" s="54" t="s">
        <v>26</v>
      </c>
      <c r="E889" s="1">
        <v>471962</v>
      </c>
      <c r="F889" s="309">
        <v>69891</v>
      </c>
      <c r="G889" s="309">
        <v>3298600</v>
      </c>
      <c r="H889" s="368">
        <f t="shared" si="71"/>
        <v>4.2729760529991419E-3</v>
      </c>
      <c r="J889" s="1">
        <v>372500</v>
      </c>
      <c r="K889" s="309">
        <v>43498</v>
      </c>
      <c r="L889" s="309">
        <v>1620300</v>
      </c>
      <c r="M889" s="368">
        <f t="shared" si="72"/>
        <v>2.210099226212384E-3</v>
      </c>
      <c r="O889" s="1">
        <v>469490</v>
      </c>
      <c r="P889" s="309">
        <v>74055</v>
      </c>
      <c r="Q889" s="309">
        <v>3476800</v>
      </c>
      <c r="R889" s="368">
        <f t="shared" si="73"/>
        <v>4.5422391945589835E-3</v>
      </c>
    </row>
    <row r="890" spans="2:18" x14ac:dyDescent="0.3">
      <c r="B890" s="54" t="s">
        <v>1612</v>
      </c>
      <c r="C890" s="54" t="s">
        <v>24</v>
      </c>
      <c r="E890" s="1">
        <v>15192</v>
      </c>
      <c r="F890" s="309">
        <v>106934</v>
      </c>
      <c r="G890" s="309">
        <v>162454</v>
      </c>
      <c r="H890" s="368">
        <f t="shared" si="71"/>
        <v>1.4332349327895755E-4</v>
      </c>
      <c r="J890" s="1">
        <v>13794</v>
      </c>
      <c r="K890" s="309">
        <v>97748</v>
      </c>
      <c r="L890" s="309">
        <v>134834</v>
      </c>
      <c r="M890" s="368">
        <f t="shared" si="72"/>
        <v>1.203090535558169E-4</v>
      </c>
      <c r="O890" s="1">
        <v>16015</v>
      </c>
      <c r="P890" s="309">
        <v>109040</v>
      </c>
      <c r="Q890" s="309">
        <v>174627</v>
      </c>
      <c r="R890" s="368">
        <f t="shared" si="73"/>
        <v>1.5242514177154286E-4</v>
      </c>
    </row>
    <row r="891" spans="2:18" x14ac:dyDescent="0.3">
      <c r="B891" s="54" t="s">
        <v>1612</v>
      </c>
      <c r="C891" s="54" t="s">
        <v>25</v>
      </c>
      <c r="E891" s="1">
        <v>11276</v>
      </c>
      <c r="F891" s="309">
        <v>409000</v>
      </c>
      <c r="G891" s="309">
        <v>461188</v>
      </c>
      <c r="H891" s="368">
        <f t="shared" si="71"/>
        <v>1.2480953432824691E-3</v>
      </c>
      <c r="J891" s="1">
        <v>11107</v>
      </c>
      <c r="K891" s="309">
        <v>402989</v>
      </c>
      <c r="L891" s="309">
        <v>447600</v>
      </c>
      <c r="M891" s="368">
        <f t="shared" si="72"/>
        <v>1.227370385930549E-3</v>
      </c>
      <c r="O891" s="1">
        <v>10981</v>
      </c>
      <c r="P891" s="309">
        <v>377322</v>
      </c>
      <c r="Q891" s="309">
        <v>414337</v>
      </c>
      <c r="R891" s="368">
        <f t="shared" si="73"/>
        <v>1.1203844926533663E-3</v>
      </c>
    </row>
    <row r="892" spans="2:18" x14ac:dyDescent="0.3">
      <c r="B892" s="54" t="s">
        <v>1612</v>
      </c>
      <c r="C892" s="54" t="s">
        <v>27</v>
      </c>
      <c r="E892" s="1">
        <v>1695</v>
      </c>
      <c r="F892" s="309">
        <v>33286</v>
      </c>
      <c r="G892" s="309">
        <v>5642</v>
      </c>
      <c r="H892" s="368">
        <f t="shared" si="71"/>
        <v>1.5714011934611027E-5</v>
      </c>
      <c r="J892" s="1">
        <v>1801</v>
      </c>
      <c r="K892" s="309">
        <v>20766</v>
      </c>
      <c r="L892" s="309">
        <v>3740</v>
      </c>
      <c r="M892" s="368">
        <f t="shared" si="72"/>
        <v>1.0866140431494494E-5</v>
      </c>
      <c r="O892" s="1">
        <v>1721</v>
      </c>
      <c r="P892" s="309">
        <v>31087</v>
      </c>
      <c r="Q892" s="309">
        <v>5350</v>
      </c>
      <c r="R892" s="368">
        <f t="shared" si="73"/>
        <v>1.6052842862153832E-5</v>
      </c>
    </row>
    <row r="893" spans="2:18" x14ac:dyDescent="0.3">
      <c r="B893" s="54" t="s">
        <v>1612</v>
      </c>
      <c r="C893" s="54" t="s">
        <v>1469</v>
      </c>
      <c r="E893" s="1">
        <v>19135</v>
      </c>
      <c r="F893" s="309">
        <v>807307</v>
      </c>
      <c r="G893" s="309">
        <v>1544781</v>
      </c>
      <c r="H893" s="368">
        <f t="shared" si="71"/>
        <v>4.9198507661733122E-3</v>
      </c>
      <c r="J893" s="1">
        <v>18578</v>
      </c>
      <c r="K893" s="309">
        <v>680085</v>
      </c>
      <c r="L893" s="309">
        <v>1263462</v>
      </c>
      <c r="M893" s="368">
        <f t="shared" si="72"/>
        <v>4.6160312304893971E-3</v>
      </c>
      <c r="O893" s="1">
        <v>17555</v>
      </c>
      <c r="P893" s="309">
        <v>828559</v>
      </c>
      <c r="Q893" s="309">
        <v>1454536</v>
      </c>
      <c r="R893" s="368">
        <f t="shared" si="73"/>
        <v>5.2227883304575493E-3</v>
      </c>
    </row>
    <row r="894" spans="2:18" x14ac:dyDescent="0.3">
      <c r="B894" s="54" t="s">
        <v>1612</v>
      </c>
      <c r="C894" s="54" t="s">
        <v>26</v>
      </c>
      <c r="E894" s="1">
        <v>87061</v>
      </c>
      <c r="F894" s="309">
        <v>60940</v>
      </c>
      <c r="G894" s="309">
        <v>530552</v>
      </c>
      <c r="H894" s="368">
        <f t="shared" si="71"/>
        <v>6.8727217330710017E-4</v>
      </c>
      <c r="J894" s="1">
        <v>88135</v>
      </c>
      <c r="K894" s="309">
        <v>56419</v>
      </c>
      <c r="L894" s="309">
        <v>497250</v>
      </c>
      <c r="M894" s="368">
        <f t="shared" si="72"/>
        <v>6.7825207692039004E-4</v>
      </c>
      <c r="O894" s="1">
        <v>86493</v>
      </c>
      <c r="P894" s="309">
        <v>57514</v>
      </c>
      <c r="Q894" s="309">
        <v>497459</v>
      </c>
      <c r="R894" s="368">
        <f t="shared" si="73"/>
        <v>6.499015668103191E-4</v>
      </c>
    </row>
    <row r="895" spans="2:18" x14ac:dyDescent="0.3">
      <c r="B895" s="54" t="s">
        <v>1613</v>
      </c>
      <c r="C895" s="54" t="s">
        <v>24</v>
      </c>
      <c r="E895" s="1">
        <v>27304</v>
      </c>
      <c r="F895" s="309">
        <v>33641</v>
      </c>
      <c r="G895" s="309">
        <v>91853</v>
      </c>
      <c r="H895" s="368">
        <f t="shared" si="71"/>
        <v>8.1036433871447235E-5</v>
      </c>
      <c r="J895" s="1">
        <v>27147</v>
      </c>
      <c r="K895" s="309">
        <v>37333</v>
      </c>
      <c r="L895" s="309">
        <v>101349</v>
      </c>
      <c r="M895" s="368">
        <f t="shared" si="72"/>
        <v>9.043121370595315E-5</v>
      </c>
      <c r="O895" s="1">
        <v>56231</v>
      </c>
      <c r="P895" s="309">
        <v>38290</v>
      </c>
      <c r="Q895" s="309">
        <v>215309</v>
      </c>
      <c r="R895" s="368">
        <f t="shared" si="73"/>
        <v>1.8793488320642928E-4</v>
      </c>
    </row>
    <row r="896" spans="2:18" x14ac:dyDescent="0.3">
      <c r="B896" s="54" t="s">
        <v>1613</v>
      </c>
      <c r="C896" s="54" t="s">
        <v>25</v>
      </c>
      <c r="E896" s="1">
        <v>24376</v>
      </c>
      <c r="F896" s="309">
        <v>230725</v>
      </c>
      <c r="G896" s="309">
        <v>562416</v>
      </c>
      <c r="H896" s="368">
        <f t="shared" si="71"/>
        <v>1.5220447856135744E-3</v>
      </c>
      <c r="J896" s="1">
        <v>22229</v>
      </c>
      <c r="K896" s="309">
        <v>252977</v>
      </c>
      <c r="L896" s="309">
        <v>562342</v>
      </c>
      <c r="M896" s="368">
        <f t="shared" si="72"/>
        <v>1.5420060714141128E-3</v>
      </c>
      <c r="O896" s="1">
        <v>24795</v>
      </c>
      <c r="P896" s="309">
        <v>256309</v>
      </c>
      <c r="Q896" s="309">
        <v>635519</v>
      </c>
      <c r="R896" s="368">
        <f t="shared" si="73"/>
        <v>1.7184698262201414E-3</v>
      </c>
    </row>
    <row r="897" spans="2:18" x14ac:dyDescent="0.3">
      <c r="B897" s="54" t="s">
        <v>1613</v>
      </c>
      <c r="C897" s="54" t="s">
        <v>1468</v>
      </c>
      <c r="E897" s="1">
        <v>0</v>
      </c>
      <c r="F897" s="309"/>
      <c r="G897" s="309">
        <v>0</v>
      </c>
      <c r="H897" s="368">
        <f t="shared" si="71"/>
        <v>0</v>
      </c>
      <c r="J897" s="1">
        <v>0</v>
      </c>
      <c r="K897" s="309"/>
      <c r="L897" s="309">
        <v>0</v>
      </c>
      <c r="M897" s="368">
        <f t="shared" si="72"/>
        <v>0</v>
      </c>
      <c r="O897" s="1">
        <v>0</v>
      </c>
      <c r="P897" s="309"/>
      <c r="Q897" s="309">
        <v>0</v>
      </c>
      <c r="R897" s="368">
        <f t="shared" si="73"/>
        <v>0</v>
      </c>
    </row>
    <row r="898" spans="2:18" x14ac:dyDescent="0.3">
      <c r="B898" s="54" t="s">
        <v>1613</v>
      </c>
      <c r="C898" s="54" t="s">
        <v>27</v>
      </c>
      <c r="E898" s="1">
        <v>2470</v>
      </c>
      <c r="F898" s="309">
        <v>15794</v>
      </c>
      <c r="G898" s="309">
        <v>3901</v>
      </c>
      <c r="H898" s="368">
        <f t="shared" si="71"/>
        <v>1.0865005415972638E-5</v>
      </c>
      <c r="J898" s="1">
        <v>897</v>
      </c>
      <c r="K898" s="309">
        <v>19253</v>
      </c>
      <c r="L898" s="309">
        <v>1727</v>
      </c>
      <c r="M898" s="368">
        <f t="shared" si="72"/>
        <v>5.0176001404253987E-6</v>
      </c>
      <c r="O898" s="1">
        <v>1356</v>
      </c>
      <c r="P898" s="309">
        <v>15383</v>
      </c>
      <c r="Q898" s="309">
        <v>2086</v>
      </c>
      <c r="R898" s="368">
        <f t="shared" si="73"/>
        <v>6.2591084505519418E-6</v>
      </c>
    </row>
    <row r="899" spans="2:18" x14ac:dyDescent="0.3">
      <c r="B899" s="54" t="s">
        <v>1613</v>
      </c>
      <c r="C899" s="54" t="s">
        <v>1469</v>
      </c>
      <c r="E899" s="1">
        <v>510</v>
      </c>
      <c r="F899" s="309">
        <v>349765</v>
      </c>
      <c r="G899" s="309">
        <v>17838</v>
      </c>
      <c r="H899" s="368">
        <f t="shared" ref="H899:H962" si="74">G899/(VLOOKUP($C899,$W$5:$Z$13,2,FALSE)*10^6)</f>
        <v>5.6810834653584901E-5</v>
      </c>
      <c r="J899" s="1">
        <v>144</v>
      </c>
      <c r="K899" s="309">
        <v>351250</v>
      </c>
      <c r="L899" s="309">
        <v>5058</v>
      </c>
      <c r="M899" s="368">
        <f t="shared" ref="M899:M962" si="75">L899/(VLOOKUP($C899,$W$5:$Z$13,3,FALSE)*10^6)</f>
        <v>1.8479294164617036E-5</v>
      </c>
      <c r="O899" s="1">
        <v>370</v>
      </c>
      <c r="P899" s="309">
        <v>498703</v>
      </c>
      <c r="Q899" s="309">
        <v>18452</v>
      </c>
      <c r="R899" s="368">
        <f t="shared" ref="R899:R962" si="76">Q899/(VLOOKUP($C899,$W$5:$Z$13,4,FALSE)*10^6)</f>
        <v>6.6255417723317059E-5</v>
      </c>
    </row>
    <row r="900" spans="2:18" x14ac:dyDescent="0.3">
      <c r="B900" s="54" t="s">
        <v>1613</v>
      </c>
      <c r="C900" s="54" t="s">
        <v>26</v>
      </c>
      <c r="E900" s="1">
        <v>1169911</v>
      </c>
      <c r="F900" s="309">
        <v>15819</v>
      </c>
      <c r="G900" s="309">
        <v>1850740</v>
      </c>
      <c r="H900" s="368">
        <f t="shared" si="74"/>
        <v>2.3974315468161134E-3</v>
      </c>
      <c r="J900" s="1">
        <v>1096818</v>
      </c>
      <c r="K900" s="309">
        <v>11150</v>
      </c>
      <c r="L900" s="309">
        <v>1222988</v>
      </c>
      <c r="M900" s="368">
        <f t="shared" si="75"/>
        <v>1.6681631996957546E-3</v>
      </c>
      <c r="O900" s="1">
        <v>1345607</v>
      </c>
      <c r="P900" s="309">
        <v>22927</v>
      </c>
      <c r="Q900" s="309">
        <v>3085096</v>
      </c>
      <c r="R900" s="368">
        <f t="shared" si="76"/>
        <v>4.0305004516156071E-3</v>
      </c>
    </row>
    <row r="901" spans="2:18" x14ac:dyDescent="0.3">
      <c r="B901" s="54" t="s">
        <v>1614</v>
      </c>
      <c r="C901" s="54" t="s">
        <v>24</v>
      </c>
      <c r="E901" s="1">
        <v>16704</v>
      </c>
      <c r="F901" s="309">
        <v>130776</v>
      </c>
      <c r="G901" s="309">
        <v>218448</v>
      </c>
      <c r="H901" s="368">
        <f t="shared" si="74"/>
        <v>1.9272366614427297E-4</v>
      </c>
      <c r="J901" s="1">
        <v>15944</v>
      </c>
      <c r="K901" s="309">
        <v>148868</v>
      </c>
      <c r="L901" s="309">
        <v>237355</v>
      </c>
      <c r="M901" s="368">
        <f t="shared" si="75"/>
        <v>2.1178601396339887E-4</v>
      </c>
      <c r="O901" s="1">
        <v>16958</v>
      </c>
      <c r="P901" s="309">
        <v>137339</v>
      </c>
      <c r="Q901" s="309">
        <v>232899</v>
      </c>
      <c r="R901" s="368">
        <f t="shared" si="76"/>
        <v>2.0328851262090377E-4</v>
      </c>
    </row>
    <row r="902" spans="2:18" x14ac:dyDescent="0.3">
      <c r="B902" s="54" t="s">
        <v>1614</v>
      </c>
      <c r="C902" s="54" t="s">
        <v>25</v>
      </c>
      <c r="E902" s="1">
        <v>40615</v>
      </c>
      <c r="F902" s="309">
        <v>192759</v>
      </c>
      <c r="G902" s="309">
        <v>782892</v>
      </c>
      <c r="H902" s="368">
        <f t="shared" si="74"/>
        <v>2.1187105030770503E-3</v>
      </c>
      <c r="J902" s="1">
        <v>49643</v>
      </c>
      <c r="K902" s="309">
        <v>194316</v>
      </c>
      <c r="L902" s="309">
        <v>964644</v>
      </c>
      <c r="M902" s="368">
        <f t="shared" si="75"/>
        <v>2.6451641612278563E-3</v>
      </c>
      <c r="O902" s="1">
        <v>51576</v>
      </c>
      <c r="P902" s="309">
        <v>192809</v>
      </c>
      <c r="Q902" s="309">
        <v>994433</v>
      </c>
      <c r="R902" s="368">
        <f t="shared" si="76"/>
        <v>2.6889882201752801E-3</v>
      </c>
    </row>
    <row r="903" spans="2:18" x14ac:dyDescent="0.3">
      <c r="B903" s="54" t="s">
        <v>1614</v>
      </c>
      <c r="C903" s="54" t="s">
        <v>1468</v>
      </c>
      <c r="E903" s="1">
        <v>12527</v>
      </c>
      <c r="F903" s="309">
        <v>78042</v>
      </c>
      <c r="G903" s="309">
        <v>97763</v>
      </c>
      <c r="H903" s="368">
        <f t="shared" si="74"/>
        <v>1.3790261818508848E-4</v>
      </c>
      <c r="J903" s="1">
        <v>11825</v>
      </c>
      <c r="K903" s="309">
        <v>76487</v>
      </c>
      <c r="L903" s="309">
        <v>90446</v>
      </c>
      <c r="M903" s="368">
        <f t="shared" si="75"/>
        <v>1.2583825847496899E-4</v>
      </c>
      <c r="O903" s="1">
        <v>12394</v>
      </c>
      <c r="P903" s="309">
        <v>85882</v>
      </c>
      <c r="Q903" s="309">
        <v>106442</v>
      </c>
      <c r="R903" s="368">
        <f t="shared" si="76"/>
        <v>1.4949841891398008E-4</v>
      </c>
    </row>
    <row r="904" spans="2:18" x14ac:dyDescent="0.3">
      <c r="B904" s="54" t="s">
        <v>1614</v>
      </c>
      <c r="C904" s="54" t="s">
        <v>27</v>
      </c>
      <c r="E904" s="1">
        <v>67</v>
      </c>
      <c r="F904" s="309">
        <v>3731</v>
      </c>
      <c r="G904" s="309">
        <v>25</v>
      </c>
      <c r="H904" s="368">
        <f t="shared" si="74"/>
        <v>6.9629616867294523E-8</v>
      </c>
      <c r="J904" s="1">
        <v>66</v>
      </c>
      <c r="K904" s="309">
        <v>3939</v>
      </c>
      <c r="L904" s="309">
        <v>26</v>
      </c>
      <c r="M904" s="368">
        <f t="shared" si="75"/>
        <v>7.5540013694881512E-8</v>
      </c>
      <c r="O904" s="1">
        <v>66</v>
      </c>
      <c r="P904" s="309">
        <v>4091</v>
      </c>
      <c r="Q904" s="309">
        <v>27</v>
      </c>
      <c r="R904" s="368">
        <f t="shared" si="76"/>
        <v>8.1014347154795034E-8</v>
      </c>
    </row>
    <row r="905" spans="2:18" x14ac:dyDescent="0.3">
      <c r="B905" s="54" t="s">
        <v>1614</v>
      </c>
      <c r="C905" s="54" t="s">
        <v>26</v>
      </c>
      <c r="E905" s="1">
        <v>285867</v>
      </c>
      <c r="F905" s="309">
        <v>31471</v>
      </c>
      <c r="G905" s="309">
        <v>899653</v>
      </c>
      <c r="H905" s="368">
        <f t="shared" si="74"/>
        <v>1.1654022085153815E-3</v>
      </c>
      <c r="J905" s="1">
        <v>255549</v>
      </c>
      <c r="K905" s="309">
        <v>30483</v>
      </c>
      <c r="L905" s="309">
        <v>778986</v>
      </c>
      <c r="M905" s="368">
        <f t="shared" si="75"/>
        <v>1.0625417242672839E-3</v>
      </c>
      <c r="O905" s="1">
        <v>263960</v>
      </c>
      <c r="P905" s="309">
        <v>31705</v>
      </c>
      <c r="Q905" s="309">
        <v>836884</v>
      </c>
      <c r="R905" s="368">
        <f t="shared" si="76"/>
        <v>1.0933408036410781E-3</v>
      </c>
    </row>
    <row r="906" spans="2:18" x14ac:dyDescent="0.3">
      <c r="B906" s="54" t="s">
        <v>20</v>
      </c>
      <c r="C906" s="54" t="s">
        <v>28</v>
      </c>
      <c r="E906" s="1">
        <v>1394315</v>
      </c>
      <c r="F906" s="309">
        <v>218711</v>
      </c>
      <c r="G906" s="309">
        <v>30495190</v>
      </c>
      <c r="H906" s="368">
        <f t="shared" si="74"/>
        <v>0.10784367804918506</v>
      </c>
      <c r="J906" s="1">
        <v>1332379</v>
      </c>
      <c r="K906" s="309">
        <v>220419</v>
      </c>
      <c r="L906" s="309">
        <v>29368185</v>
      </c>
      <c r="M906" s="368">
        <f t="shared" si="75"/>
        <v>0.10102573603061314</v>
      </c>
      <c r="O906" s="1">
        <v>1386655</v>
      </c>
      <c r="P906" s="309">
        <v>224136</v>
      </c>
      <c r="Q906" s="309">
        <v>31079966</v>
      </c>
      <c r="R906" s="368">
        <f t="shared" si="76"/>
        <v>0.10384968358005964</v>
      </c>
    </row>
    <row r="907" spans="2:18" x14ac:dyDescent="0.3">
      <c r="B907" s="54" t="s">
        <v>20</v>
      </c>
      <c r="C907" s="54" t="s">
        <v>24</v>
      </c>
      <c r="E907" s="1">
        <v>1048464</v>
      </c>
      <c r="F907" s="309">
        <v>45981</v>
      </c>
      <c r="G907" s="309">
        <v>4820962</v>
      </c>
      <c r="H907" s="368">
        <f t="shared" si="74"/>
        <v>4.2532477797106241E-3</v>
      </c>
      <c r="J907" s="1">
        <v>1103147</v>
      </c>
      <c r="K907" s="309">
        <v>45952</v>
      </c>
      <c r="L907" s="309">
        <v>5069143</v>
      </c>
      <c r="M907" s="368">
        <f t="shared" si="75"/>
        <v>4.5230713074528263E-3</v>
      </c>
      <c r="O907" s="1">
        <v>958170</v>
      </c>
      <c r="P907" s="309">
        <v>44976</v>
      </c>
      <c r="Q907" s="309">
        <v>4309480</v>
      </c>
      <c r="R907" s="368">
        <f t="shared" si="76"/>
        <v>3.7615781062586462E-3</v>
      </c>
    </row>
    <row r="908" spans="2:18" x14ac:dyDescent="0.3">
      <c r="B908" s="54" t="s">
        <v>20</v>
      </c>
      <c r="C908" s="54" t="s">
        <v>1472</v>
      </c>
      <c r="E908" s="1">
        <v>797128</v>
      </c>
      <c r="F908" s="309">
        <v>181304</v>
      </c>
      <c r="G908" s="309">
        <v>14452261</v>
      </c>
      <c r="H908" s="368">
        <f t="shared" si="74"/>
        <v>3.6104009455961948E-2</v>
      </c>
      <c r="J908" s="1">
        <v>856422</v>
      </c>
      <c r="K908" s="309">
        <v>181394</v>
      </c>
      <c r="L908" s="309">
        <v>15534984</v>
      </c>
      <c r="M908" s="368">
        <f t="shared" si="75"/>
        <v>3.8492631078086863E-2</v>
      </c>
      <c r="O908" s="1">
        <v>896322</v>
      </c>
      <c r="P908" s="309">
        <v>187125</v>
      </c>
      <c r="Q908" s="309">
        <v>16772430</v>
      </c>
      <c r="R908" s="368">
        <f t="shared" si="76"/>
        <v>4.0838970283208417E-2</v>
      </c>
    </row>
    <row r="909" spans="2:18" x14ac:dyDescent="0.3">
      <c r="B909" s="54" t="s">
        <v>20</v>
      </c>
      <c r="C909" s="54" t="s">
        <v>25</v>
      </c>
      <c r="E909" s="1">
        <v>5922</v>
      </c>
      <c r="F909" s="309">
        <v>180856</v>
      </c>
      <c r="G909" s="309">
        <v>107103</v>
      </c>
      <c r="H909" s="368">
        <f t="shared" si="74"/>
        <v>2.8984872882985307E-4</v>
      </c>
      <c r="J909" s="1">
        <v>5967</v>
      </c>
      <c r="K909" s="309">
        <v>181483</v>
      </c>
      <c r="L909" s="309">
        <v>108291</v>
      </c>
      <c r="M909" s="368">
        <f t="shared" si="75"/>
        <v>2.9694630577034202E-4</v>
      </c>
      <c r="O909" s="1">
        <v>7179</v>
      </c>
      <c r="P909" s="309">
        <v>178207</v>
      </c>
      <c r="Q909" s="309">
        <v>127935</v>
      </c>
      <c r="R909" s="368">
        <f t="shared" si="76"/>
        <v>3.4594156463846679E-4</v>
      </c>
    </row>
    <row r="910" spans="2:18" x14ac:dyDescent="0.3">
      <c r="B910" s="54" t="s">
        <v>20</v>
      </c>
      <c r="C910" s="54" t="s">
        <v>1468</v>
      </c>
      <c r="E910" s="1">
        <v>10719698</v>
      </c>
      <c r="F910" s="309">
        <v>30690</v>
      </c>
      <c r="G910" s="309">
        <v>32898903</v>
      </c>
      <c r="H910" s="368">
        <f t="shared" si="74"/>
        <v>4.6406563414760814E-2</v>
      </c>
      <c r="J910" s="1">
        <v>10647941</v>
      </c>
      <c r="K910" s="309">
        <v>30380</v>
      </c>
      <c r="L910" s="309">
        <v>32348114</v>
      </c>
      <c r="M910" s="368">
        <f t="shared" si="75"/>
        <v>4.5006195196136516E-2</v>
      </c>
      <c r="O910" s="1">
        <v>9715358</v>
      </c>
      <c r="P910" s="309">
        <v>29188</v>
      </c>
      <c r="Q910" s="309">
        <v>28356869</v>
      </c>
      <c r="R910" s="368">
        <f t="shared" si="76"/>
        <v>3.9827390323846371E-2</v>
      </c>
    </row>
    <row r="911" spans="2:18" x14ac:dyDescent="0.3">
      <c r="B911" s="54" t="s">
        <v>20</v>
      </c>
      <c r="C911" s="54" t="s">
        <v>27</v>
      </c>
      <c r="E911" s="1">
        <v>24181</v>
      </c>
      <c r="F911" s="309">
        <v>17712</v>
      </c>
      <c r="G911" s="309">
        <v>42829</v>
      </c>
      <c r="H911" s="368">
        <f t="shared" si="74"/>
        <v>1.1928667443237428E-4</v>
      </c>
      <c r="J911" s="1">
        <v>24031</v>
      </c>
      <c r="K911" s="309">
        <v>17130</v>
      </c>
      <c r="L911" s="309">
        <v>41165</v>
      </c>
      <c r="M911" s="368">
        <f t="shared" si="75"/>
        <v>1.1960017937499222E-4</v>
      </c>
      <c r="O911" s="1">
        <v>23497</v>
      </c>
      <c r="P911" s="309">
        <v>16665</v>
      </c>
      <c r="Q911" s="309">
        <v>39157</v>
      </c>
      <c r="R911" s="368">
        <f t="shared" si="76"/>
        <v>1.1749180709408552E-4</v>
      </c>
    </row>
    <row r="912" spans="2:18" x14ac:dyDescent="0.3">
      <c r="B912" s="54" t="s">
        <v>20</v>
      </c>
      <c r="C912" s="54" t="s">
        <v>1470</v>
      </c>
      <c r="E912" s="1">
        <v>1403520</v>
      </c>
      <c r="F912" s="309">
        <v>663250</v>
      </c>
      <c r="G912" s="309">
        <v>93088464</v>
      </c>
      <c r="H912" s="368">
        <f t="shared" si="74"/>
        <v>5.1447816881980975E-2</v>
      </c>
      <c r="J912" s="1">
        <v>1790208</v>
      </c>
      <c r="K912" s="309">
        <v>754515</v>
      </c>
      <c r="L912" s="309">
        <v>135073799</v>
      </c>
      <c r="M912" s="368">
        <f t="shared" si="75"/>
        <v>7.0929127472452849E-2</v>
      </c>
      <c r="O912" s="1">
        <v>1835085</v>
      </c>
      <c r="P912" s="309">
        <v>713875</v>
      </c>
      <c r="Q912" s="309">
        <v>131002173</v>
      </c>
      <c r="R912" s="368">
        <f t="shared" si="76"/>
        <v>6.8035967516096169E-2</v>
      </c>
    </row>
    <row r="913" spans="2:18" x14ac:dyDescent="0.3">
      <c r="B913" s="54" t="s">
        <v>20</v>
      </c>
      <c r="C913" s="54" t="s">
        <v>26</v>
      </c>
      <c r="E913" s="1">
        <v>1241</v>
      </c>
      <c r="F913" s="309">
        <v>10467</v>
      </c>
      <c r="G913" s="309">
        <v>1299</v>
      </c>
      <c r="H913" s="368">
        <f t="shared" si="74"/>
        <v>1.6827126334947814E-6</v>
      </c>
      <c r="J913" s="1">
        <v>1215</v>
      </c>
      <c r="K913" s="309">
        <v>10963</v>
      </c>
      <c r="L913" s="309">
        <v>1332</v>
      </c>
      <c r="M913" s="368">
        <f t="shared" si="75"/>
        <v>1.8168562422482846E-6</v>
      </c>
      <c r="O913" s="1">
        <v>1244</v>
      </c>
      <c r="P913" s="309">
        <v>10860</v>
      </c>
      <c r="Q913" s="309">
        <v>1351</v>
      </c>
      <c r="R913" s="368">
        <f t="shared" si="76"/>
        <v>1.7650037827453943E-6</v>
      </c>
    </row>
    <row r="914" spans="2:18" x14ac:dyDescent="0.3">
      <c r="B914" s="54" t="s">
        <v>1615</v>
      </c>
      <c r="C914" s="54" t="s">
        <v>28</v>
      </c>
      <c r="E914" s="1">
        <v>6005</v>
      </c>
      <c r="F914" s="309">
        <v>39827</v>
      </c>
      <c r="G914" s="309">
        <v>23916</v>
      </c>
      <c r="H914" s="368">
        <f t="shared" si="74"/>
        <v>8.4576925220807274E-5</v>
      </c>
      <c r="J914" s="1">
        <v>5719</v>
      </c>
      <c r="K914" s="309">
        <v>39734</v>
      </c>
      <c r="L914" s="309">
        <v>22724</v>
      </c>
      <c r="M914" s="368">
        <f t="shared" si="75"/>
        <v>7.8169925228939175E-5</v>
      </c>
      <c r="O914" s="1">
        <v>5431</v>
      </c>
      <c r="P914" s="309">
        <v>39648</v>
      </c>
      <c r="Q914" s="309">
        <v>21533</v>
      </c>
      <c r="R914" s="368">
        <f t="shared" si="76"/>
        <v>7.1949732394476363E-5</v>
      </c>
    </row>
    <row r="915" spans="2:18" x14ac:dyDescent="0.3">
      <c r="B915" s="54" t="s">
        <v>1615</v>
      </c>
      <c r="C915" s="54" t="s">
        <v>24</v>
      </c>
      <c r="E915" s="1">
        <v>32830</v>
      </c>
      <c r="F915" s="309">
        <v>22845</v>
      </c>
      <c r="G915" s="309">
        <v>75000</v>
      </c>
      <c r="H915" s="368">
        <f t="shared" si="74"/>
        <v>6.6168035234108228E-5</v>
      </c>
      <c r="J915" s="1">
        <v>37674</v>
      </c>
      <c r="K915" s="309">
        <v>23371</v>
      </c>
      <c r="L915" s="309">
        <v>88049</v>
      </c>
      <c r="M915" s="368">
        <f t="shared" si="75"/>
        <v>7.8563951648220201E-5</v>
      </c>
      <c r="O915" s="1">
        <v>31803</v>
      </c>
      <c r="P915" s="309">
        <v>23897</v>
      </c>
      <c r="Q915" s="309">
        <v>76000</v>
      </c>
      <c r="R915" s="368">
        <f t="shared" si="76"/>
        <v>6.6337455116547027E-5</v>
      </c>
    </row>
    <row r="916" spans="2:18" x14ac:dyDescent="0.3">
      <c r="B916" s="54" t="s">
        <v>1615</v>
      </c>
      <c r="C916" s="54" t="s">
        <v>25</v>
      </c>
      <c r="E916" s="1">
        <v>1548</v>
      </c>
      <c r="F916" s="309">
        <v>8643</v>
      </c>
      <c r="G916" s="309">
        <v>1338</v>
      </c>
      <c r="H916" s="368">
        <f t="shared" si="74"/>
        <v>3.6209779294169482E-6</v>
      </c>
      <c r="J916" s="1">
        <v>1589</v>
      </c>
      <c r="K916" s="309">
        <v>8546</v>
      </c>
      <c r="L916" s="309">
        <v>1358</v>
      </c>
      <c r="M916" s="368">
        <f t="shared" si="75"/>
        <v>3.7237912960091281E-6</v>
      </c>
      <c r="O916" s="1">
        <v>1632</v>
      </c>
      <c r="P916" s="309">
        <v>8444</v>
      </c>
      <c r="Q916" s="309">
        <v>1378</v>
      </c>
      <c r="R916" s="368">
        <f t="shared" si="76"/>
        <v>3.7261693521851506E-6</v>
      </c>
    </row>
    <row r="917" spans="2:18" x14ac:dyDescent="0.3">
      <c r="B917" s="54" t="s">
        <v>1615</v>
      </c>
      <c r="C917" s="54" t="s">
        <v>1468</v>
      </c>
      <c r="E917" s="1">
        <v>20681</v>
      </c>
      <c r="F917" s="309">
        <v>31066</v>
      </c>
      <c r="G917" s="309">
        <v>64248</v>
      </c>
      <c r="H917" s="368">
        <f t="shared" si="74"/>
        <v>9.0627000124337062E-5</v>
      </c>
      <c r="J917" s="1">
        <v>18124</v>
      </c>
      <c r="K917" s="309">
        <v>31450</v>
      </c>
      <c r="L917" s="309">
        <v>57000</v>
      </c>
      <c r="M917" s="368">
        <f t="shared" si="75"/>
        <v>7.9304565520567331E-5</v>
      </c>
      <c r="O917" s="1">
        <v>24978</v>
      </c>
      <c r="P917" s="309">
        <v>32028</v>
      </c>
      <c r="Q917" s="309">
        <v>80000</v>
      </c>
      <c r="R917" s="368">
        <f t="shared" si="76"/>
        <v>1.1236047343265258E-4</v>
      </c>
    </row>
    <row r="918" spans="2:18" x14ac:dyDescent="0.3">
      <c r="B918" s="54" t="s">
        <v>1615</v>
      </c>
      <c r="C918" s="54" t="s">
        <v>27</v>
      </c>
      <c r="E918" s="1">
        <v>715</v>
      </c>
      <c r="F918" s="309">
        <v>14168</v>
      </c>
      <c r="G918" s="309">
        <v>1013</v>
      </c>
      <c r="H918" s="368">
        <f t="shared" si="74"/>
        <v>2.8213920754627739E-6</v>
      </c>
      <c r="J918" s="1">
        <v>699</v>
      </c>
      <c r="K918" s="309">
        <v>14506</v>
      </c>
      <c r="L918" s="309">
        <v>1014</v>
      </c>
      <c r="M918" s="368">
        <f t="shared" si="75"/>
        <v>2.9460605341003792E-6</v>
      </c>
      <c r="O918" s="1">
        <v>684</v>
      </c>
      <c r="P918" s="309">
        <v>14839</v>
      </c>
      <c r="Q918" s="309">
        <v>1015</v>
      </c>
      <c r="R918" s="368">
        <f t="shared" si="76"/>
        <v>3.0455393467450723E-6</v>
      </c>
    </row>
    <row r="919" spans="2:18" x14ac:dyDescent="0.3">
      <c r="B919" s="54" t="s">
        <v>1616</v>
      </c>
      <c r="C919" s="54" t="s">
        <v>28</v>
      </c>
      <c r="E919" s="1">
        <v>267020</v>
      </c>
      <c r="F919" s="309">
        <v>39011</v>
      </c>
      <c r="G919" s="309">
        <v>1041682</v>
      </c>
      <c r="H919" s="368">
        <f t="shared" si="74"/>
        <v>3.6838208988903228E-3</v>
      </c>
      <c r="J919" s="1">
        <v>273679</v>
      </c>
      <c r="K919" s="309">
        <v>39808</v>
      </c>
      <c r="L919" s="309">
        <v>1089472</v>
      </c>
      <c r="M919" s="368">
        <f t="shared" si="75"/>
        <v>3.7477532467445353E-3</v>
      </c>
      <c r="O919" s="1">
        <v>283019</v>
      </c>
      <c r="P919" s="309">
        <v>39498</v>
      </c>
      <c r="Q919" s="309">
        <v>1117880</v>
      </c>
      <c r="R919" s="368">
        <f t="shared" si="76"/>
        <v>3.735251328153868E-3</v>
      </c>
    </row>
    <row r="920" spans="2:18" x14ac:dyDescent="0.3">
      <c r="B920" s="54" t="s">
        <v>1616</v>
      </c>
      <c r="C920" s="54" t="s">
        <v>24</v>
      </c>
      <c r="E920" s="1">
        <v>694422</v>
      </c>
      <c r="F920" s="309">
        <v>12308</v>
      </c>
      <c r="G920" s="309">
        <v>854689</v>
      </c>
      <c r="H920" s="368">
        <f t="shared" si="74"/>
        <v>7.5404122488272963E-4</v>
      </c>
      <c r="J920" s="1">
        <v>715275</v>
      </c>
      <c r="K920" s="309">
        <v>12396</v>
      </c>
      <c r="L920" s="309">
        <v>886630</v>
      </c>
      <c r="M920" s="368">
        <f t="shared" si="75"/>
        <v>7.9111808708629829E-4</v>
      </c>
      <c r="O920" s="1">
        <v>743273</v>
      </c>
      <c r="P920" s="309">
        <v>12271</v>
      </c>
      <c r="Q920" s="309">
        <v>912086</v>
      </c>
      <c r="R920" s="368">
        <f t="shared" si="76"/>
        <v>7.9612452746619621E-4</v>
      </c>
    </row>
    <row r="921" spans="2:18" x14ac:dyDescent="0.3">
      <c r="B921" s="54" t="s">
        <v>1616</v>
      </c>
      <c r="C921" s="54" t="s">
        <v>1472</v>
      </c>
      <c r="E921" s="1">
        <v>18073</v>
      </c>
      <c r="F921" s="309">
        <v>85516</v>
      </c>
      <c r="G921" s="309">
        <v>154553</v>
      </c>
      <c r="H921" s="368">
        <f t="shared" si="74"/>
        <v>3.8609757832682974E-4</v>
      </c>
      <c r="J921" s="1">
        <v>18312</v>
      </c>
      <c r="K921" s="309">
        <v>85494</v>
      </c>
      <c r="L921" s="309">
        <v>156556</v>
      </c>
      <c r="M921" s="368">
        <f t="shared" si="75"/>
        <v>3.8791493773414679E-4</v>
      </c>
      <c r="O921" s="1">
        <v>18551</v>
      </c>
      <c r="P921" s="309">
        <v>85472</v>
      </c>
      <c r="Q921" s="309">
        <v>158559</v>
      </c>
      <c r="R921" s="368">
        <f t="shared" si="76"/>
        <v>3.8607323382093371E-4</v>
      </c>
    </row>
    <row r="922" spans="2:18" x14ac:dyDescent="0.3">
      <c r="B922" s="54" t="s">
        <v>1616</v>
      </c>
      <c r="C922" s="54" t="s">
        <v>1468</v>
      </c>
      <c r="E922" s="1">
        <v>84395</v>
      </c>
      <c r="F922" s="309">
        <v>16650</v>
      </c>
      <c r="G922" s="309">
        <v>140519</v>
      </c>
      <c r="H922" s="368">
        <f t="shared" si="74"/>
        <v>1.9821341412140018E-4</v>
      </c>
      <c r="J922" s="1">
        <v>86805</v>
      </c>
      <c r="K922" s="309">
        <v>16760</v>
      </c>
      <c r="L922" s="309">
        <v>145489</v>
      </c>
      <c r="M922" s="368">
        <f t="shared" si="75"/>
        <v>2.0242003391266353E-4</v>
      </c>
      <c r="O922" s="1">
        <v>89678</v>
      </c>
      <c r="P922" s="309">
        <v>16398</v>
      </c>
      <c r="Q922" s="309">
        <v>147053</v>
      </c>
      <c r="R922" s="368">
        <f t="shared" si="76"/>
        <v>2.0653680874614823E-4</v>
      </c>
    </row>
    <row r="923" spans="2:18" x14ac:dyDescent="0.3">
      <c r="B923" s="54" t="s">
        <v>1616</v>
      </c>
      <c r="C923" s="54" t="s">
        <v>27</v>
      </c>
      <c r="E923" s="1">
        <v>4857</v>
      </c>
      <c r="F923" s="309">
        <v>4435</v>
      </c>
      <c r="G923" s="309">
        <v>2154</v>
      </c>
      <c r="H923" s="368">
        <f t="shared" si="74"/>
        <v>5.9992877892860955E-6</v>
      </c>
      <c r="J923" s="1">
        <v>5182</v>
      </c>
      <c r="K923" s="309">
        <v>4454</v>
      </c>
      <c r="L923" s="309">
        <v>2308</v>
      </c>
      <c r="M923" s="368">
        <f t="shared" si="75"/>
        <v>6.7056289079917898E-6</v>
      </c>
      <c r="O923" s="1">
        <v>5505</v>
      </c>
      <c r="P923" s="309">
        <v>4472</v>
      </c>
      <c r="Q923" s="309">
        <v>2462</v>
      </c>
      <c r="R923" s="368">
        <f t="shared" si="76"/>
        <v>7.3873082479668656E-6</v>
      </c>
    </row>
    <row r="924" spans="2:18" x14ac:dyDescent="0.3">
      <c r="B924" s="54" t="s">
        <v>1617</v>
      </c>
      <c r="C924" s="54" t="s">
        <v>28</v>
      </c>
      <c r="E924" s="1">
        <v>429</v>
      </c>
      <c r="F924" s="309">
        <v>155991</v>
      </c>
      <c r="G924" s="309">
        <v>6692</v>
      </c>
      <c r="H924" s="368">
        <f t="shared" si="74"/>
        <v>2.3665695918115165E-5</v>
      </c>
      <c r="J924" s="1">
        <v>423</v>
      </c>
      <c r="K924" s="309">
        <v>158203</v>
      </c>
      <c r="L924" s="309">
        <v>6692</v>
      </c>
      <c r="M924" s="368">
        <f t="shared" si="75"/>
        <v>2.3020293066012186E-5</v>
      </c>
      <c r="O924" s="1">
        <v>418</v>
      </c>
      <c r="P924" s="309">
        <v>160096</v>
      </c>
      <c r="Q924" s="309">
        <v>6692</v>
      </c>
      <c r="R924" s="368">
        <f t="shared" si="76"/>
        <v>2.2360451826677E-5</v>
      </c>
    </row>
    <row r="925" spans="2:18" x14ac:dyDescent="0.3">
      <c r="B925" s="54" t="s">
        <v>1618</v>
      </c>
      <c r="C925" s="54" t="s">
        <v>28</v>
      </c>
      <c r="E925" s="1">
        <v>510</v>
      </c>
      <c r="F925" s="309">
        <v>26588</v>
      </c>
      <c r="G925" s="309">
        <v>1356</v>
      </c>
      <c r="H925" s="368">
        <f t="shared" si="74"/>
        <v>4.7953801053443164E-6</v>
      </c>
      <c r="J925" s="1">
        <v>448</v>
      </c>
      <c r="K925" s="309">
        <v>46406</v>
      </c>
      <c r="L925" s="309">
        <v>2079</v>
      </c>
      <c r="M925" s="368">
        <f t="shared" si="75"/>
        <v>7.1517019253196852E-6</v>
      </c>
      <c r="O925" s="1">
        <v>414</v>
      </c>
      <c r="P925" s="309">
        <v>56884</v>
      </c>
      <c r="Q925" s="309">
        <v>2355</v>
      </c>
      <c r="R925" s="368">
        <f t="shared" si="76"/>
        <v>7.8689276825798478E-6</v>
      </c>
    </row>
    <row r="926" spans="2:18" x14ac:dyDescent="0.3">
      <c r="B926" s="54" t="s">
        <v>1618</v>
      </c>
      <c r="C926" s="54" t="s">
        <v>24</v>
      </c>
      <c r="E926" s="1">
        <v>2050</v>
      </c>
      <c r="F926" s="309">
        <v>19951</v>
      </c>
      <c r="G926" s="309">
        <v>4090</v>
      </c>
      <c r="H926" s="368">
        <f t="shared" si="74"/>
        <v>3.6083635214333685E-6</v>
      </c>
      <c r="J926" s="1">
        <v>2315</v>
      </c>
      <c r="K926" s="309">
        <v>18821</v>
      </c>
      <c r="L926" s="309">
        <v>4357</v>
      </c>
      <c r="M926" s="368">
        <f t="shared" si="75"/>
        <v>3.8876436680859004E-6</v>
      </c>
      <c r="O926" s="1">
        <v>3000</v>
      </c>
      <c r="P926" s="309">
        <v>16667</v>
      </c>
      <c r="Q926" s="309">
        <v>5000</v>
      </c>
      <c r="R926" s="368">
        <f t="shared" si="76"/>
        <v>4.3643062576675679E-6</v>
      </c>
    </row>
    <row r="927" spans="2:18" x14ac:dyDescent="0.3">
      <c r="B927" s="54" t="s">
        <v>1618</v>
      </c>
      <c r="C927" s="54" t="s">
        <v>1468</v>
      </c>
      <c r="E927" s="1">
        <v>1420</v>
      </c>
      <c r="F927" s="309">
        <v>11408</v>
      </c>
      <c r="G927" s="309">
        <v>1620</v>
      </c>
      <c r="H927" s="368">
        <f t="shared" si="74"/>
        <v>2.28514101919789E-6</v>
      </c>
      <c r="J927" s="1">
        <v>702</v>
      </c>
      <c r="K927" s="309">
        <v>8348</v>
      </c>
      <c r="L927" s="309">
        <v>586</v>
      </c>
      <c r="M927" s="368">
        <f t="shared" si="75"/>
        <v>8.1530658587811335E-7</v>
      </c>
      <c r="O927" s="1">
        <v>2000</v>
      </c>
      <c r="P927" s="309">
        <v>5000</v>
      </c>
      <c r="Q927" s="309">
        <v>1000</v>
      </c>
      <c r="R927" s="368">
        <f t="shared" si="76"/>
        <v>1.4045059179081572E-6</v>
      </c>
    </row>
    <row r="928" spans="2:18" x14ac:dyDescent="0.3">
      <c r="B928" s="54" t="s">
        <v>1618</v>
      </c>
      <c r="C928" s="54" t="s">
        <v>1470</v>
      </c>
      <c r="E928" s="1">
        <v>0</v>
      </c>
      <c r="F928" s="309"/>
      <c r="G928" s="309">
        <v>0</v>
      </c>
      <c r="H928" s="368">
        <f t="shared" si="74"/>
        <v>0</v>
      </c>
      <c r="J928" s="1">
        <v>0</v>
      </c>
      <c r="K928" s="309"/>
      <c r="L928" s="309">
        <v>0</v>
      </c>
      <c r="M928" s="368">
        <f t="shared" si="75"/>
        <v>0</v>
      </c>
      <c r="O928" s="1">
        <v>0</v>
      </c>
      <c r="P928" s="309"/>
      <c r="Q928" s="309">
        <v>0</v>
      </c>
      <c r="R928" s="368">
        <f t="shared" si="76"/>
        <v>0</v>
      </c>
    </row>
    <row r="929" spans="2:18" x14ac:dyDescent="0.3">
      <c r="B929" s="54" t="s">
        <v>1619</v>
      </c>
      <c r="C929" s="54" t="s">
        <v>25</v>
      </c>
      <c r="E929" s="1">
        <v>24929</v>
      </c>
      <c r="F929" s="309">
        <v>168478</v>
      </c>
      <c r="G929" s="309">
        <v>420000</v>
      </c>
      <c r="H929" s="368">
        <f t="shared" si="74"/>
        <v>1.1366298433147372E-3</v>
      </c>
      <c r="J929" s="1">
        <v>26642</v>
      </c>
      <c r="K929" s="309">
        <v>168906</v>
      </c>
      <c r="L929" s="309">
        <v>450000</v>
      </c>
      <c r="M929" s="368">
        <f t="shared" si="75"/>
        <v>1.2339514603859408E-3</v>
      </c>
      <c r="O929" s="1">
        <v>25686</v>
      </c>
      <c r="P929" s="309">
        <v>171300</v>
      </c>
      <c r="Q929" s="309">
        <v>440000</v>
      </c>
      <c r="R929" s="368">
        <f t="shared" si="76"/>
        <v>1.18977831274417E-3</v>
      </c>
    </row>
    <row r="930" spans="2:18" x14ac:dyDescent="0.3">
      <c r="B930" s="54" t="s">
        <v>1619</v>
      </c>
      <c r="C930" s="54" t="s">
        <v>1469</v>
      </c>
      <c r="E930" s="1">
        <v>1233</v>
      </c>
      <c r="F930" s="309">
        <v>603625</v>
      </c>
      <c r="G930" s="309">
        <v>74427</v>
      </c>
      <c r="H930" s="368">
        <f t="shared" si="74"/>
        <v>2.3703666278519807E-4</v>
      </c>
      <c r="J930" s="1">
        <v>1278</v>
      </c>
      <c r="K930" s="309">
        <v>564577</v>
      </c>
      <c r="L930" s="309">
        <v>72153</v>
      </c>
      <c r="M930" s="368">
        <f t="shared" si="75"/>
        <v>2.6360943294970602E-4</v>
      </c>
      <c r="O930" s="1">
        <v>1346</v>
      </c>
      <c r="P930" s="309">
        <v>554227</v>
      </c>
      <c r="Q930" s="309">
        <v>74599</v>
      </c>
      <c r="R930" s="368">
        <f t="shared" si="76"/>
        <v>2.6786190693375947E-4</v>
      </c>
    </row>
    <row r="931" spans="2:18" x14ac:dyDescent="0.3">
      <c r="B931" s="54" t="s">
        <v>1619</v>
      </c>
      <c r="C931" s="54" t="s">
        <v>26</v>
      </c>
      <c r="E931" s="1">
        <v>675000</v>
      </c>
      <c r="F931" s="309">
        <v>16360</v>
      </c>
      <c r="G931" s="309">
        <v>1104300</v>
      </c>
      <c r="H931" s="368">
        <f t="shared" si="74"/>
        <v>1.4305000470887506E-3</v>
      </c>
      <c r="J931" s="1">
        <v>619000</v>
      </c>
      <c r="K931" s="309">
        <v>17373</v>
      </c>
      <c r="L931" s="309">
        <v>1075400</v>
      </c>
      <c r="M931" s="368">
        <f t="shared" si="75"/>
        <v>1.4668522544397937E-3</v>
      </c>
      <c r="O931" s="1">
        <v>643000</v>
      </c>
      <c r="P931" s="309">
        <v>22395</v>
      </c>
      <c r="Q931" s="309">
        <v>1440000</v>
      </c>
      <c r="R931" s="368">
        <f t="shared" si="76"/>
        <v>1.8812771629558608E-3</v>
      </c>
    </row>
    <row r="932" spans="2:18" x14ac:dyDescent="0.3">
      <c r="B932" s="54" t="s">
        <v>21</v>
      </c>
      <c r="C932" s="54" t="s">
        <v>24</v>
      </c>
      <c r="E932" s="1">
        <v>637726</v>
      </c>
      <c r="F932" s="309">
        <v>92516</v>
      </c>
      <c r="G932" s="309">
        <v>5900000</v>
      </c>
      <c r="H932" s="368">
        <f t="shared" si="74"/>
        <v>5.2052187717498465E-3</v>
      </c>
      <c r="J932" s="1">
        <v>591544</v>
      </c>
      <c r="K932" s="309">
        <v>96358</v>
      </c>
      <c r="L932" s="309">
        <v>5700000</v>
      </c>
      <c r="M932" s="368">
        <f t="shared" si="75"/>
        <v>5.0859694533141224E-3</v>
      </c>
      <c r="O932" s="1">
        <v>638065</v>
      </c>
      <c r="P932" s="309">
        <v>94034</v>
      </c>
      <c r="Q932" s="309">
        <v>6000000</v>
      </c>
      <c r="R932" s="368">
        <f t="shared" si="76"/>
        <v>5.2371675092010815E-3</v>
      </c>
    </row>
    <row r="933" spans="2:18" x14ac:dyDescent="0.3">
      <c r="B933" s="54" t="s">
        <v>21</v>
      </c>
      <c r="C933" s="54" t="s">
        <v>25</v>
      </c>
      <c r="E933" s="1">
        <v>142851</v>
      </c>
      <c r="F933" s="309">
        <v>336014</v>
      </c>
      <c r="G933" s="309">
        <v>4800000</v>
      </c>
      <c r="H933" s="368">
        <f t="shared" si="74"/>
        <v>1.2990055352168425E-2</v>
      </c>
      <c r="J933" s="1">
        <v>135904</v>
      </c>
      <c r="K933" s="309">
        <v>334795</v>
      </c>
      <c r="L933" s="309">
        <v>4550000</v>
      </c>
      <c r="M933" s="368">
        <f t="shared" si="75"/>
        <v>1.2476620321680067E-2</v>
      </c>
      <c r="O933" s="1">
        <v>140766</v>
      </c>
      <c r="P933" s="309">
        <v>353766</v>
      </c>
      <c r="Q933" s="309">
        <v>4979824</v>
      </c>
      <c r="R933" s="368">
        <f t="shared" si="76"/>
        <v>1.3465651355643008E-2</v>
      </c>
    </row>
    <row r="934" spans="2:18" x14ac:dyDescent="0.3">
      <c r="B934" s="54" t="s">
        <v>21</v>
      </c>
      <c r="C934" s="54" t="s">
        <v>1468</v>
      </c>
      <c r="E934" s="1">
        <v>109505</v>
      </c>
      <c r="F934" s="309">
        <v>82188</v>
      </c>
      <c r="G934" s="309">
        <v>900000</v>
      </c>
      <c r="H934" s="368">
        <f t="shared" si="74"/>
        <v>1.2695227884432722E-3</v>
      </c>
      <c r="J934" s="1">
        <v>120137</v>
      </c>
      <c r="K934" s="309">
        <v>78244</v>
      </c>
      <c r="L934" s="309">
        <v>940000</v>
      </c>
      <c r="M934" s="368">
        <f t="shared" si="75"/>
        <v>1.3078296770058474E-3</v>
      </c>
      <c r="O934" s="1">
        <v>126419</v>
      </c>
      <c r="P934" s="309">
        <v>79102</v>
      </c>
      <c r="Q934" s="309">
        <v>1000000</v>
      </c>
      <c r="R934" s="368">
        <f t="shared" si="76"/>
        <v>1.4045059179081572E-3</v>
      </c>
    </row>
    <row r="935" spans="2:18" x14ac:dyDescent="0.3">
      <c r="B935" s="54" t="s">
        <v>21</v>
      </c>
      <c r="C935" s="54" t="s">
        <v>27</v>
      </c>
      <c r="E935" s="1">
        <v>31670</v>
      </c>
      <c r="F935" s="309">
        <v>44206</v>
      </c>
      <c r="G935" s="309">
        <v>140000</v>
      </c>
      <c r="H935" s="368">
        <f t="shared" si="74"/>
        <v>3.899258544568493E-4</v>
      </c>
      <c r="J935" s="1">
        <v>32848</v>
      </c>
      <c r="K935" s="309">
        <v>42621</v>
      </c>
      <c r="L935" s="309">
        <v>140000</v>
      </c>
      <c r="M935" s="368">
        <f t="shared" si="75"/>
        <v>4.0675391989551587E-4</v>
      </c>
      <c r="O935" s="1">
        <v>35295</v>
      </c>
      <c r="P935" s="309">
        <v>42499</v>
      </c>
      <c r="Q935" s="309">
        <v>150000</v>
      </c>
      <c r="R935" s="368">
        <f t="shared" si="76"/>
        <v>4.5007970641552795E-4</v>
      </c>
    </row>
    <row r="936" spans="2:18" x14ac:dyDescent="0.3">
      <c r="B936" s="54" t="s">
        <v>21</v>
      </c>
      <c r="C936" s="54" t="s">
        <v>1469</v>
      </c>
      <c r="E936" s="1">
        <v>338883</v>
      </c>
      <c r="F936" s="309">
        <v>624080</v>
      </c>
      <c r="G936" s="309">
        <v>21149020</v>
      </c>
      <c r="H936" s="368">
        <f t="shared" si="74"/>
        <v>6.7355840245843707E-2</v>
      </c>
      <c r="J936" s="1">
        <v>290698</v>
      </c>
      <c r="K936" s="309">
        <v>599801</v>
      </c>
      <c r="L936" s="309">
        <v>17436100</v>
      </c>
      <c r="M936" s="368">
        <f t="shared" si="75"/>
        <v>6.3702416169173409E-2</v>
      </c>
      <c r="O936" s="1">
        <v>310100</v>
      </c>
      <c r="P936" s="309">
        <v>583216</v>
      </c>
      <c r="Q936" s="309">
        <v>18085528</v>
      </c>
      <c r="R936" s="368">
        <f t="shared" si="76"/>
        <v>6.4939530261583944E-2</v>
      </c>
    </row>
    <row r="937" spans="2:18" x14ac:dyDescent="0.3">
      <c r="B937" s="54" t="s">
        <v>21</v>
      </c>
      <c r="C937" s="54" t="s">
        <v>26</v>
      </c>
      <c r="E937" s="1">
        <v>7662273</v>
      </c>
      <c r="F937" s="309">
        <v>28060</v>
      </c>
      <c r="G937" s="309">
        <v>21500000</v>
      </c>
      <c r="H937" s="368">
        <f t="shared" si="74"/>
        <v>2.7850901940059888E-2</v>
      </c>
      <c r="J937" s="1">
        <v>7288622</v>
      </c>
      <c r="K937" s="309">
        <v>27440</v>
      </c>
      <c r="L937" s="309">
        <v>20000000</v>
      </c>
      <c r="M937" s="368">
        <f t="shared" si="75"/>
        <v>2.7280123757481751E-2</v>
      </c>
      <c r="O937" s="1">
        <v>6831854</v>
      </c>
      <c r="P937" s="309">
        <v>27811</v>
      </c>
      <c r="Q937" s="309">
        <v>19000000</v>
      </c>
      <c r="R937" s="368">
        <f t="shared" si="76"/>
        <v>2.4822407011223162E-2</v>
      </c>
    </row>
    <row r="938" spans="2:18" x14ac:dyDescent="0.3">
      <c r="B938" s="54" t="s">
        <v>1620</v>
      </c>
      <c r="C938" s="54" t="s">
        <v>24</v>
      </c>
      <c r="E938" s="1">
        <v>39000</v>
      </c>
      <c r="F938" s="309">
        <v>12821</v>
      </c>
      <c r="G938" s="309">
        <v>50000</v>
      </c>
      <c r="H938" s="368">
        <f t="shared" si="74"/>
        <v>4.4112023489405483E-5</v>
      </c>
      <c r="J938" s="1">
        <v>31452</v>
      </c>
      <c r="K938" s="309">
        <v>12718</v>
      </c>
      <c r="L938" s="309">
        <v>40000</v>
      </c>
      <c r="M938" s="368">
        <f t="shared" si="75"/>
        <v>3.5691013707467528E-5</v>
      </c>
      <c r="O938" s="1">
        <v>33615</v>
      </c>
      <c r="P938" s="309">
        <v>11899</v>
      </c>
      <c r="Q938" s="309">
        <v>40000</v>
      </c>
      <c r="R938" s="368">
        <f t="shared" si="76"/>
        <v>3.4914450061340543E-5</v>
      </c>
    </row>
    <row r="939" spans="2:18" x14ac:dyDescent="0.3">
      <c r="B939" s="54" t="s">
        <v>1620</v>
      </c>
      <c r="C939" s="54" t="s">
        <v>25</v>
      </c>
      <c r="E939" s="1">
        <v>16894</v>
      </c>
      <c r="F939" s="309">
        <v>180620</v>
      </c>
      <c r="G939" s="309">
        <v>305139</v>
      </c>
      <c r="H939" s="368">
        <f t="shared" si="74"/>
        <v>8.2578593752194191E-4</v>
      </c>
      <c r="J939" s="1">
        <v>17326</v>
      </c>
      <c r="K939" s="309">
        <v>179123</v>
      </c>
      <c r="L939" s="309">
        <v>310349</v>
      </c>
      <c r="M939" s="368">
        <f t="shared" si="75"/>
        <v>8.5101244839848073E-4</v>
      </c>
      <c r="O939" s="1">
        <v>17749</v>
      </c>
      <c r="P939" s="309">
        <v>177629</v>
      </c>
      <c r="Q939" s="309">
        <v>315273</v>
      </c>
      <c r="R939" s="368">
        <f t="shared" si="76"/>
        <v>8.5251131362225623E-4</v>
      </c>
    </row>
    <row r="940" spans="2:18" x14ac:dyDescent="0.3">
      <c r="B940" s="54" t="s">
        <v>1620</v>
      </c>
      <c r="C940" s="54" t="s">
        <v>1468</v>
      </c>
      <c r="E940" s="1">
        <v>147856</v>
      </c>
      <c r="F940" s="309">
        <v>8792</v>
      </c>
      <c r="G940" s="309">
        <v>130000</v>
      </c>
      <c r="H940" s="368">
        <f t="shared" si="74"/>
        <v>1.8337551388625045E-4</v>
      </c>
      <c r="J940" s="1">
        <v>159272</v>
      </c>
      <c r="K940" s="309">
        <v>8162</v>
      </c>
      <c r="L940" s="309">
        <v>130000</v>
      </c>
      <c r="M940" s="368">
        <f t="shared" si="75"/>
        <v>1.8087006171357462E-4</v>
      </c>
      <c r="O940" s="1">
        <v>171180</v>
      </c>
      <c r="P940" s="309">
        <v>7594</v>
      </c>
      <c r="Q940" s="309">
        <v>130000</v>
      </c>
      <c r="R940" s="368">
        <f t="shared" si="76"/>
        <v>1.8258576932806043E-4</v>
      </c>
    </row>
    <row r="941" spans="2:18" x14ac:dyDescent="0.3">
      <c r="B941" s="54" t="s">
        <v>1620</v>
      </c>
      <c r="C941" s="54" t="s">
        <v>1469</v>
      </c>
      <c r="E941" s="1">
        <v>19198</v>
      </c>
      <c r="F941" s="309">
        <v>126510</v>
      </c>
      <c r="G941" s="309">
        <v>242873</v>
      </c>
      <c r="H941" s="368">
        <f t="shared" si="74"/>
        <v>7.735069988126542E-4</v>
      </c>
      <c r="J941" s="1">
        <v>19231</v>
      </c>
      <c r="K941" s="309">
        <v>126862</v>
      </c>
      <c r="L941" s="309">
        <v>243968</v>
      </c>
      <c r="M941" s="368">
        <f t="shared" si="75"/>
        <v>8.9133183842492875E-4</v>
      </c>
      <c r="O941" s="1">
        <v>19263</v>
      </c>
      <c r="P941" s="309">
        <v>127220</v>
      </c>
      <c r="Q941" s="309">
        <v>245064</v>
      </c>
      <c r="R941" s="368">
        <f t="shared" si="76"/>
        <v>8.7994893176604006E-4</v>
      </c>
    </row>
    <row r="942" spans="2:18" x14ac:dyDescent="0.3">
      <c r="B942" s="54" t="s">
        <v>1620</v>
      </c>
      <c r="C942" s="54" t="s">
        <v>26</v>
      </c>
      <c r="E942" s="1">
        <v>900900</v>
      </c>
      <c r="F942" s="309">
        <v>11100</v>
      </c>
      <c r="G942" s="309">
        <v>1000000</v>
      </c>
      <c r="H942" s="368">
        <f t="shared" si="74"/>
        <v>1.2953907879097624E-3</v>
      </c>
      <c r="J942" s="1">
        <v>717965</v>
      </c>
      <c r="K942" s="309">
        <v>13928</v>
      </c>
      <c r="L942" s="309">
        <v>1000000</v>
      </c>
      <c r="M942" s="368">
        <f t="shared" si="75"/>
        <v>1.3640061878740877E-3</v>
      </c>
      <c r="O942" s="1">
        <v>900000</v>
      </c>
      <c r="P942" s="309">
        <v>16667</v>
      </c>
      <c r="Q942" s="309">
        <v>1500000</v>
      </c>
      <c r="R942" s="368">
        <f t="shared" si="76"/>
        <v>1.9596637114123548E-3</v>
      </c>
    </row>
    <row r="943" spans="2:18" x14ac:dyDescent="0.3">
      <c r="B943" s="54" t="s">
        <v>1621</v>
      </c>
      <c r="C943" s="54" t="s">
        <v>28</v>
      </c>
      <c r="E943" s="1">
        <v>1143001</v>
      </c>
      <c r="F943" s="309">
        <v>23878</v>
      </c>
      <c r="G943" s="309">
        <v>2729260</v>
      </c>
      <c r="H943" s="368">
        <f t="shared" si="74"/>
        <v>9.6517987509675725E-3</v>
      </c>
      <c r="J943" s="1">
        <v>1217875</v>
      </c>
      <c r="K943" s="309">
        <v>23150</v>
      </c>
      <c r="L943" s="309">
        <v>2819327</v>
      </c>
      <c r="M943" s="368">
        <f t="shared" si="75"/>
        <v>9.6984061250629024E-3</v>
      </c>
      <c r="O943" s="1">
        <v>1255107</v>
      </c>
      <c r="P943" s="309">
        <v>22640</v>
      </c>
      <c r="Q943" s="309">
        <v>2841625</v>
      </c>
      <c r="R943" s="368">
        <f t="shared" si="76"/>
        <v>9.494922134187244E-3</v>
      </c>
    </row>
    <row r="944" spans="2:18" x14ac:dyDescent="0.3">
      <c r="B944" s="54" t="s">
        <v>1621</v>
      </c>
      <c r="C944" s="54" t="s">
        <v>24</v>
      </c>
      <c r="E944" s="1">
        <v>1010692</v>
      </c>
      <c r="F944" s="309">
        <v>26039</v>
      </c>
      <c r="G944" s="309">
        <v>2631728</v>
      </c>
      <c r="H944" s="368">
        <f t="shared" si="74"/>
        <v>2.3218169470745221E-3</v>
      </c>
      <c r="J944" s="1">
        <v>1041993</v>
      </c>
      <c r="K944" s="309">
        <v>26610</v>
      </c>
      <c r="L944" s="309">
        <v>2772718</v>
      </c>
      <c r="M944" s="368">
        <f t="shared" si="75"/>
        <v>2.4740279036235486E-3</v>
      </c>
      <c r="O944" s="1">
        <v>951081</v>
      </c>
      <c r="P944" s="309">
        <v>27074</v>
      </c>
      <c r="Q944" s="309">
        <v>2575000</v>
      </c>
      <c r="R944" s="368">
        <f t="shared" si="76"/>
        <v>2.2476177226987974E-3</v>
      </c>
    </row>
    <row r="945" spans="2:18" x14ac:dyDescent="0.3">
      <c r="B945" s="54" t="s">
        <v>1621</v>
      </c>
      <c r="C945" s="54" t="s">
        <v>25</v>
      </c>
      <c r="E945" s="1">
        <v>39300</v>
      </c>
      <c r="F945" s="309">
        <v>44082</v>
      </c>
      <c r="G945" s="309">
        <v>173244</v>
      </c>
      <c r="H945" s="368">
        <f t="shared" si="74"/>
        <v>4.6884357279813887E-4</v>
      </c>
      <c r="J945" s="1">
        <v>41728</v>
      </c>
      <c r="K945" s="309">
        <v>42892</v>
      </c>
      <c r="L945" s="309">
        <v>178980</v>
      </c>
      <c r="M945" s="368">
        <f t="shared" si="75"/>
        <v>4.9078362751083481E-4</v>
      </c>
      <c r="O945" s="1">
        <v>43953</v>
      </c>
      <c r="P945" s="309">
        <v>41386</v>
      </c>
      <c r="Q945" s="309">
        <v>181904</v>
      </c>
      <c r="R945" s="368">
        <f t="shared" si="76"/>
        <v>4.9187598682139892E-4</v>
      </c>
    </row>
    <row r="946" spans="2:18" x14ac:dyDescent="0.3">
      <c r="B946" s="54" t="s">
        <v>1621</v>
      </c>
      <c r="C946" s="54" t="s">
        <v>1468</v>
      </c>
      <c r="E946" s="1">
        <v>89708</v>
      </c>
      <c r="F946" s="309">
        <v>26693</v>
      </c>
      <c r="G946" s="309">
        <v>239457</v>
      </c>
      <c r="H946" s="368">
        <f t="shared" si="74"/>
        <v>3.3777346483584514E-4</v>
      </c>
      <c r="J946" s="1">
        <v>88796</v>
      </c>
      <c r="K946" s="309">
        <v>27694</v>
      </c>
      <c r="L946" s="309">
        <v>245910</v>
      </c>
      <c r="M946" s="368">
        <f t="shared" si="75"/>
        <v>3.4213659135373182E-4</v>
      </c>
      <c r="O946" s="1">
        <v>77398</v>
      </c>
      <c r="P946" s="309">
        <v>28425</v>
      </c>
      <c r="Q946" s="309">
        <v>220000</v>
      </c>
      <c r="R946" s="368">
        <f t="shared" si="76"/>
        <v>3.0899130193979456E-4</v>
      </c>
    </row>
    <row r="947" spans="2:18" x14ac:dyDescent="0.3">
      <c r="B947" s="54" t="s">
        <v>1621</v>
      </c>
      <c r="C947" s="54" t="s">
        <v>27</v>
      </c>
      <c r="E947" s="1">
        <v>47000</v>
      </c>
      <c r="F947" s="309">
        <v>5978</v>
      </c>
      <c r="G947" s="309">
        <v>28097</v>
      </c>
      <c r="H947" s="368">
        <f t="shared" si="74"/>
        <v>7.8255333804814968E-5</v>
      </c>
      <c r="J947" s="1">
        <v>47000</v>
      </c>
      <c r="K947" s="309">
        <v>5792</v>
      </c>
      <c r="L947" s="309">
        <v>27222</v>
      </c>
      <c r="M947" s="368">
        <f t="shared" si="75"/>
        <v>7.909039433854095E-5</v>
      </c>
      <c r="O947" s="1">
        <v>48000</v>
      </c>
      <c r="P947" s="309">
        <v>5833</v>
      </c>
      <c r="Q947" s="309">
        <v>28000</v>
      </c>
      <c r="R947" s="368">
        <f t="shared" si="76"/>
        <v>8.4014878530898554E-5</v>
      </c>
    </row>
    <row r="948" spans="2:18" x14ac:dyDescent="0.3">
      <c r="B948" s="54" t="s">
        <v>1621</v>
      </c>
      <c r="C948" s="54" t="s">
        <v>1470</v>
      </c>
      <c r="E948" s="1">
        <v>57949</v>
      </c>
      <c r="F948" s="309">
        <v>690262</v>
      </c>
      <c r="G948" s="309">
        <v>4000000</v>
      </c>
      <c r="H948" s="368">
        <f t="shared" si="74"/>
        <v>2.2107064472341479E-3</v>
      </c>
      <c r="J948" s="1">
        <v>68134</v>
      </c>
      <c r="K948" s="309">
        <v>689817</v>
      </c>
      <c r="L948" s="309">
        <v>4700000</v>
      </c>
      <c r="M948" s="368">
        <f t="shared" si="75"/>
        <v>2.4680352636008143E-3</v>
      </c>
      <c r="O948" s="1">
        <v>70964</v>
      </c>
      <c r="P948" s="309">
        <v>689370</v>
      </c>
      <c r="Q948" s="309">
        <v>4892047</v>
      </c>
      <c r="R948" s="368">
        <f t="shared" si="76"/>
        <v>2.540684197499653E-3</v>
      </c>
    </row>
    <row r="949" spans="2:18" x14ac:dyDescent="0.3">
      <c r="B949" s="54" t="s">
        <v>1621</v>
      </c>
      <c r="C949" s="54" t="s">
        <v>26</v>
      </c>
      <c r="E949" s="1">
        <v>14124</v>
      </c>
      <c r="F949" s="309">
        <v>15647</v>
      </c>
      <c r="G949" s="309">
        <v>22100</v>
      </c>
      <c r="H949" s="368">
        <f t="shared" si="74"/>
        <v>2.8628136412805748E-5</v>
      </c>
      <c r="J949" s="1">
        <v>14894</v>
      </c>
      <c r="K949" s="309">
        <v>15581</v>
      </c>
      <c r="L949" s="309">
        <v>23206</v>
      </c>
      <c r="M949" s="368">
        <f t="shared" si="75"/>
        <v>3.1653127595806076E-5</v>
      </c>
      <c r="O949" s="1">
        <v>15215</v>
      </c>
      <c r="P949" s="309">
        <v>15500</v>
      </c>
      <c r="Q949" s="309">
        <v>23583</v>
      </c>
      <c r="R949" s="368">
        <f t="shared" si="76"/>
        <v>3.0809832870825044E-5</v>
      </c>
    </row>
    <row r="950" spans="2:18" x14ac:dyDescent="0.3">
      <c r="B950" s="54" t="s">
        <v>1622</v>
      </c>
      <c r="C950" s="54" t="s">
        <v>24</v>
      </c>
      <c r="E950" s="1">
        <v>4480700</v>
      </c>
      <c r="F950" s="309">
        <v>55056</v>
      </c>
      <c r="G950" s="309">
        <v>24668750</v>
      </c>
      <c r="H950" s="368">
        <f t="shared" si="74"/>
        <v>2.1763769589085429E-2</v>
      </c>
      <c r="J950" s="1">
        <v>4564200</v>
      </c>
      <c r="K950" s="309">
        <v>78439</v>
      </c>
      <c r="L950" s="309">
        <v>35801050</v>
      </c>
      <c r="M950" s="368">
        <f t="shared" si="75"/>
        <v>3.1944394157293256E-2</v>
      </c>
      <c r="O950" s="1">
        <v>4986900</v>
      </c>
      <c r="P950" s="309">
        <v>71949</v>
      </c>
      <c r="Q950" s="309">
        <v>35880050</v>
      </c>
      <c r="R950" s="368">
        <f t="shared" si="76"/>
        <v>3.1318305348085045E-2</v>
      </c>
    </row>
    <row r="951" spans="2:18" x14ac:dyDescent="0.3">
      <c r="B951" s="54" t="s">
        <v>1622</v>
      </c>
      <c r="C951" s="54" t="s">
        <v>25</v>
      </c>
      <c r="E951" s="1">
        <v>1323200</v>
      </c>
      <c r="F951" s="309">
        <v>167837</v>
      </c>
      <c r="G951" s="309">
        <v>22208220</v>
      </c>
      <c r="H951" s="368">
        <f t="shared" si="74"/>
        <v>6.0101251473569553E-2</v>
      </c>
      <c r="J951" s="1">
        <v>1319900</v>
      </c>
      <c r="K951" s="309">
        <v>170498</v>
      </c>
      <c r="L951" s="309">
        <v>22503970</v>
      </c>
      <c r="M951" s="368">
        <f t="shared" si="75"/>
        <v>6.1708459213291995E-2</v>
      </c>
      <c r="O951" s="1">
        <v>1308800</v>
      </c>
      <c r="P951" s="309">
        <v>154869</v>
      </c>
      <c r="Q951" s="309">
        <v>20269190</v>
      </c>
      <c r="R951" s="368">
        <f t="shared" si="76"/>
        <v>5.480873336111592E-2</v>
      </c>
    </row>
    <row r="952" spans="2:18" x14ac:dyDescent="0.3">
      <c r="B952" s="54" t="s">
        <v>1622</v>
      </c>
      <c r="C952" s="54" t="s">
        <v>1468</v>
      </c>
      <c r="E952" s="1">
        <v>12700</v>
      </c>
      <c r="F952" s="309">
        <v>50346</v>
      </c>
      <c r="G952" s="309">
        <v>63940</v>
      </c>
      <c r="H952" s="368">
        <f t="shared" si="74"/>
        <v>9.0192541214514251E-5</v>
      </c>
      <c r="J952" s="1">
        <v>12600</v>
      </c>
      <c r="K952" s="309">
        <v>54929</v>
      </c>
      <c r="L952" s="309">
        <v>69210</v>
      </c>
      <c r="M952" s="368">
        <f t="shared" si="75"/>
        <v>9.6292438239973071E-5</v>
      </c>
      <c r="O952" s="1">
        <v>10500</v>
      </c>
      <c r="P952" s="309">
        <v>51971</v>
      </c>
      <c r="Q952" s="309">
        <v>54570</v>
      </c>
      <c r="R952" s="368">
        <f t="shared" si="76"/>
        <v>7.6643887940248135E-5</v>
      </c>
    </row>
    <row r="953" spans="2:18" x14ac:dyDescent="0.3">
      <c r="B953" s="54" t="s">
        <v>1622</v>
      </c>
      <c r="C953" s="54" t="s">
        <v>27</v>
      </c>
      <c r="E953" s="1">
        <v>1981900</v>
      </c>
      <c r="F953" s="309">
        <v>19675</v>
      </c>
      <c r="G953" s="309">
        <v>3899370</v>
      </c>
      <c r="H953" s="368">
        <f t="shared" si="74"/>
        <v>1.086046556495289E-2</v>
      </c>
      <c r="J953" s="1">
        <v>1728700</v>
      </c>
      <c r="K953" s="309">
        <v>25804</v>
      </c>
      <c r="L953" s="309">
        <v>4460770</v>
      </c>
      <c r="M953" s="368">
        <f t="shared" si="75"/>
        <v>1.2960254880373716E-2</v>
      </c>
      <c r="O953" s="1">
        <v>1612800</v>
      </c>
      <c r="P953" s="309">
        <v>22933</v>
      </c>
      <c r="Q953" s="309">
        <v>3698710</v>
      </c>
      <c r="R953" s="368">
        <f t="shared" si="76"/>
        <v>1.1098095406107849E-2</v>
      </c>
    </row>
    <row r="954" spans="2:18" x14ac:dyDescent="0.3">
      <c r="B954" s="54" t="s">
        <v>1622</v>
      </c>
      <c r="C954" s="54" t="s">
        <v>1469</v>
      </c>
      <c r="E954" s="1">
        <v>313600</v>
      </c>
      <c r="F954" s="309">
        <v>474539</v>
      </c>
      <c r="G954" s="309">
        <v>14881550</v>
      </c>
      <c r="H954" s="368">
        <f t="shared" si="74"/>
        <v>4.7395070996695612E-2</v>
      </c>
      <c r="J954" s="1">
        <v>274700</v>
      </c>
      <c r="K954" s="309">
        <v>508471</v>
      </c>
      <c r="L954" s="309">
        <v>13967700</v>
      </c>
      <c r="M954" s="368">
        <f t="shared" si="75"/>
        <v>5.1030691400379871E-2</v>
      </c>
      <c r="O954" s="1">
        <v>221300</v>
      </c>
      <c r="P954" s="309">
        <v>461117</v>
      </c>
      <c r="Q954" s="309">
        <v>10204530</v>
      </c>
      <c r="R954" s="368">
        <f t="shared" si="76"/>
        <v>3.664130705723611E-2</v>
      </c>
    </row>
    <row r="955" spans="2:18" x14ac:dyDescent="0.3">
      <c r="B955" s="54" t="s">
        <v>1622</v>
      </c>
      <c r="C955" s="54" t="s">
        <v>1470</v>
      </c>
      <c r="E955" s="1">
        <v>0</v>
      </c>
      <c r="F955" s="309"/>
      <c r="G955" s="309">
        <v>0</v>
      </c>
      <c r="H955" s="368">
        <f t="shared" si="74"/>
        <v>0</v>
      </c>
      <c r="J955" s="1">
        <v>0</v>
      </c>
      <c r="K955" s="309"/>
      <c r="L955" s="309">
        <v>0</v>
      </c>
      <c r="M955" s="368">
        <f t="shared" si="75"/>
        <v>0</v>
      </c>
      <c r="O955" s="1">
        <v>0</v>
      </c>
      <c r="P955" s="309"/>
      <c r="Q955" s="309">
        <v>0</v>
      </c>
      <c r="R955" s="368">
        <f t="shared" si="76"/>
        <v>0</v>
      </c>
    </row>
    <row r="956" spans="2:18" x14ac:dyDescent="0.3">
      <c r="B956" s="54" t="s">
        <v>1622</v>
      </c>
      <c r="C956" s="54" t="s">
        <v>26</v>
      </c>
      <c r="E956" s="1">
        <v>6377400</v>
      </c>
      <c r="F956" s="309">
        <v>41097</v>
      </c>
      <c r="G956" s="309">
        <v>26208980</v>
      </c>
      <c r="H956" s="368">
        <f t="shared" si="74"/>
        <v>3.39508712525112E-2</v>
      </c>
      <c r="J956" s="1">
        <v>6619600</v>
      </c>
      <c r="K956" s="309">
        <v>37242</v>
      </c>
      <c r="L956" s="309">
        <v>24652840</v>
      </c>
      <c r="M956" s="368">
        <f t="shared" si="75"/>
        <v>3.3626626308669819E-2</v>
      </c>
      <c r="O956" s="1">
        <v>6825300</v>
      </c>
      <c r="P956" s="309">
        <v>41566</v>
      </c>
      <c r="Q956" s="309">
        <v>28370280</v>
      </c>
      <c r="R956" s="368">
        <f t="shared" si="76"/>
        <v>3.7064138799071805E-2</v>
      </c>
    </row>
    <row r="957" spans="2:18" x14ac:dyDescent="0.3">
      <c r="B957" s="54" t="s">
        <v>1381</v>
      </c>
      <c r="C957" s="54" t="s">
        <v>24</v>
      </c>
      <c r="E957" s="1">
        <v>557</v>
      </c>
      <c r="F957" s="309">
        <v>307774</v>
      </c>
      <c r="G957" s="309">
        <v>17143</v>
      </c>
      <c r="H957" s="368">
        <f t="shared" si="74"/>
        <v>1.5124248373577564E-5</v>
      </c>
      <c r="J957" s="1">
        <v>391</v>
      </c>
      <c r="K957" s="309">
        <v>208951</v>
      </c>
      <c r="L957" s="309">
        <v>8170</v>
      </c>
      <c r="M957" s="368">
        <f t="shared" si="75"/>
        <v>7.289889549750242E-6</v>
      </c>
      <c r="O957" s="1">
        <v>254</v>
      </c>
      <c r="P957" s="309">
        <v>264094</v>
      </c>
      <c r="Q957" s="309">
        <v>6708</v>
      </c>
      <c r="R957" s="368">
        <f t="shared" si="76"/>
        <v>5.855153275286809E-6</v>
      </c>
    </row>
    <row r="958" spans="2:18" x14ac:dyDescent="0.3">
      <c r="B958" s="54" t="s">
        <v>1381</v>
      </c>
      <c r="C958" s="54" t="s">
        <v>25</v>
      </c>
      <c r="E958" s="1">
        <v>14</v>
      </c>
      <c r="F958" s="309">
        <v>256429</v>
      </c>
      <c r="G958" s="309">
        <v>359</v>
      </c>
      <c r="H958" s="368">
        <f t="shared" si="74"/>
        <v>9.7154788988093005E-7</v>
      </c>
      <c r="J958" s="1">
        <v>18</v>
      </c>
      <c r="K958" s="309">
        <v>250556</v>
      </c>
      <c r="L958" s="309">
        <v>451</v>
      </c>
      <c r="M958" s="368">
        <f t="shared" si="75"/>
        <v>1.236693574742354E-6</v>
      </c>
      <c r="O958" s="1">
        <v>47</v>
      </c>
      <c r="P958" s="309">
        <v>251702</v>
      </c>
      <c r="Q958" s="309">
        <v>1183</v>
      </c>
      <c r="R958" s="368">
        <f t="shared" si="76"/>
        <v>3.1988812363098935E-6</v>
      </c>
    </row>
    <row r="959" spans="2:18" x14ac:dyDescent="0.3">
      <c r="B959" s="54" t="s">
        <v>1381</v>
      </c>
      <c r="C959" s="54" t="s">
        <v>26</v>
      </c>
      <c r="E959" s="1">
        <v>0</v>
      </c>
      <c r="F959" s="309"/>
      <c r="G959" s="309">
        <v>0</v>
      </c>
      <c r="H959" s="368">
        <f t="shared" si="74"/>
        <v>0</v>
      </c>
      <c r="J959" s="1">
        <v>0</v>
      </c>
      <c r="K959" s="309"/>
      <c r="L959" s="309">
        <v>0</v>
      </c>
      <c r="M959" s="368">
        <f t="shared" si="75"/>
        <v>0</v>
      </c>
      <c r="O959" s="1">
        <v>0</v>
      </c>
      <c r="P959" s="309"/>
      <c r="Q959" s="309">
        <v>0</v>
      </c>
      <c r="R959" s="368">
        <f t="shared" si="76"/>
        <v>0</v>
      </c>
    </row>
    <row r="960" spans="2:18" x14ac:dyDescent="0.3">
      <c r="B960" s="54" t="s">
        <v>1623</v>
      </c>
      <c r="C960" s="54" t="s">
        <v>25</v>
      </c>
      <c r="E960" s="1">
        <v>146000</v>
      </c>
      <c r="F960" s="309">
        <v>425890</v>
      </c>
      <c r="G960" s="309">
        <v>6218000</v>
      </c>
      <c r="H960" s="368">
        <f t="shared" si="74"/>
        <v>1.6827534204121513E-2</v>
      </c>
      <c r="J960" s="1">
        <v>140000</v>
      </c>
      <c r="K960" s="309">
        <v>361429</v>
      </c>
      <c r="L960" s="309">
        <v>5060000</v>
      </c>
      <c r="M960" s="368">
        <f t="shared" si="75"/>
        <v>1.38750986434508E-2</v>
      </c>
      <c r="O960" s="1">
        <v>144000</v>
      </c>
      <c r="P960" s="309">
        <v>364722</v>
      </c>
      <c r="Q960" s="309">
        <v>5252000</v>
      </c>
      <c r="R960" s="368">
        <f t="shared" si="76"/>
        <v>1.4201626587573594E-2</v>
      </c>
    </row>
    <row r="961" spans="2:18" x14ac:dyDescent="0.3">
      <c r="B961" s="54" t="s">
        <v>1623</v>
      </c>
      <c r="C961" s="54" t="s">
        <v>1469</v>
      </c>
      <c r="E961" s="1">
        <v>111000</v>
      </c>
      <c r="F961" s="309">
        <v>803423</v>
      </c>
      <c r="G961" s="309">
        <v>8918000</v>
      </c>
      <c r="H961" s="368">
        <f t="shared" si="74"/>
        <v>2.8402232505923879E-2</v>
      </c>
      <c r="J961" s="1">
        <v>114200</v>
      </c>
      <c r="K961" s="309">
        <v>667250</v>
      </c>
      <c r="L961" s="309">
        <v>7620000</v>
      </c>
      <c r="M961" s="368">
        <f t="shared" si="75"/>
        <v>2.783950603684892E-2</v>
      </c>
      <c r="O961" s="1">
        <v>108000</v>
      </c>
      <c r="P961" s="309">
        <v>689815</v>
      </c>
      <c r="Q961" s="309">
        <v>7450000</v>
      </c>
      <c r="R961" s="368">
        <f t="shared" si="76"/>
        <v>2.6750642859240847E-2</v>
      </c>
    </row>
    <row r="962" spans="2:18" x14ac:dyDescent="0.3">
      <c r="B962" s="54" t="s">
        <v>1623</v>
      </c>
      <c r="C962" s="54" t="s">
        <v>26</v>
      </c>
      <c r="E962" s="1">
        <v>1792000</v>
      </c>
      <c r="F962" s="309">
        <v>82796</v>
      </c>
      <c r="G962" s="309">
        <v>14837000</v>
      </c>
      <c r="H962" s="368">
        <f t="shared" si="74"/>
        <v>1.9219713120217145E-2</v>
      </c>
      <c r="J962" s="1">
        <v>1748000</v>
      </c>
      <c r="K962" s="309">
        <v>77546</v>
      </c>
      <c r="L962" s="309">
        <v>13555000</v>
      </c>
      <c r="M962" s="368">
        <f t="shared" si="75"/>
        <v>1.8489103876633255E-2</v>
      </c>
      <c r="O962" s="1">
        <v>1816000</v>
      </c>
      <c r="P962" s="309">
        <v>89345</v>
      </c>
      <c r="Q962" s="309">
        <v>16225000</v>
      </c>
      <c r="R962" s="368">
        <f t="shared" si="76"/>
        <v>2.1197029145110305E-2</v>
      </c>
    </row>
    <row r="963" spans="2:18" x14ac:dyDescent="0.3">
      <c r="B963" s="54" t="s">
        <v>1624</v>
      </c>
      <c r="C963" s="54" t="s">
        <v>28</v>
      </c>
      <c r="E963" s="1">
        <v>1202216</v>
      </c>
      <c r="F963" s="309">
        <v>33482</v>
      </c>
      <c r="G963" s="309">
        <v>4025265</v>
      </c>
      <c r="H963" s="368">
        <f t="shared" ref="H963:H1024" si="77">G963/(VLOOKUP($C963,$W$5:$Z$13,2,FALSE)*10^6)</f>
        <v>1.4235011577978457E-2</v>
      </c>
      <c r="J963" s="1">
        <v>983505</v>
      </c>
      <c r="K963" s="309">
        <v>85126</v>
      </c>
      <c r="L963" s="309">
        <v>8372217</v>
      </c>
      <c r="M963" s="368">
        <f t="shared" ref="M963:M1024" si="78">L963/(VLOOKUP($C963,$W$5:$Z$13,3,FALSE)*10^6)</f>
        <v>2.8800192610915921E-2</v>
      </c>
      <c r="O963" s="1">
        <v>990835</v>
      </c>
      <c r="P963" s="309">
        <v>82598</v>
      </c>
      <c r="Q963" s="309">
        <v>8184093</v>
      </c>
      <c r="R963" s="368">
        <f t="shared" ref="R963:R1024" si="79">Q963/(VLOOKUP($C963,$W$5:$Z$13,4,FALSE)*10^6)</f>
        <v>2.7346087458389786E-2</v>
      </c>
    </row>
    <row r="964" spans="2:18" x14ac:dyDescent="0.3">
      <c r="B964" s="54" t="s">
        <v>1624</v>
      </c>
      <c r="C964" s="54" t="s">
        <v>24</v>
      </c>
      <c r="E964" s="1">
        <v>3817879</v>
      </c>
      <c r="F964" s="309">
        <v>17499</v>
      </c>
      <c r="G964" s="309">
        <v>6680758</v>
      </c>
      <c r="H964" s="368">
        <f t="shared" si="77"/>
        <v>5.8940350764606717E-3</v>
      </c>
      <c r="J964" s="1">
        <v>3546448</v>
      </c>
      <c r="K964" s="309">
        <v>17689</v>
      </c>
      <c r="L964" s="309">
        <v>6273151</v>
      </c>
      <c r="M964" s="368">
        <f t="shared" si="78"/>
        <v>5.5973779582503399E-3</v>
      </c>
      <c r="O964" s="1">
        <v>3428630</v>
      </c>
      <c r="P964" s="309">
        <v>16485</v>
      </c>
      <c r="Q964" s="309">
        <v>5652005</v>
      </c>
      <c r="R964" s="368">
        <f t="shared" si="79"/>
        <v>4.9334161579736762E-3</v>
      </c>
    </row>
    <row r="965" spans="2:18" x14ac:dyDescent="0.3">
      <c r="B965" s="54" t="s">
        <v>1624</v>
      </c>
      <c r="C965" s="54" t="s">
        <v>1472</v>
      </c>
      <c r="E965" s="1">
        <v>5402</v>
      </c>
      <c r="F965" s="309">
        <v>137966</v>
      </c>
      <c r="G965" s="309">
        <v>74529</v>
      </c>
      <c r="H965" s="368">
        <f t="shared" si="77"/>
        <v>1.8618510423686565E-4</v>
      </c>
      <c r="J965" s="1">
        <v>5460</v>
      </c>
      <c r="K965" s="309">
        <v>137520</v>
      </c>
      <c r="L965" s="309">
        <v>75086</v>
      </c>
      <c r="M965" s="368">
        <f t="shared" si="78"/>
        <v>1.860483214613694E-4</v>
      </c>
      <c r="O965" s="1">
        <v>5518</v>
      </c>
      <c r="P965" s="309">
        <v>137086</v>
      </c>
      <c r="Q965" s="309">
        <v>75644</v>
      </c>
      <c r="R965" s="368">
        <f t="shared" si="79"/>
        <v>1.8418458554324076E-4</v>
      </c>
    </row>
    <row r="966" spans="2:18" x14ac:dyDescent="0.3">
      <c r="B966" s="54" t="s">
        <v>1624</v>
      </c>
      <c r="C966" s="54" t="s">
        <v>25</v>
      </c>
      <c r="E966" s="1">
        <v>164073</v>
      </c>
      <c r="F966" s="309">
        <v>35538</v>
      </c>
      <c r="G966" s="309">
        <v>583082</v>
      </c>
      <c r="H966" s="368">
        <f t="shared" si="77"/>
        <v>1.5779723864277227E-3</v>
      </c>
      <c r="J966" s="1">
        <v>96574</v>
      </c>
      <c r="K966" s="309">
        <v>111846</v>
      </c>
      <c r="L966" s="309">
        <v>1080144</v>
      </c>
      <c r="M966" s="368">
        <f t="shared" si="78"/>
        <v>2.9618783693935815E-3</v>
      </c>
      <c r="O966" s="1">
        <v>96594</v>
      </c>
      <c r="P966" s="309">
        <v>104914</v>
      </c>
      <c r="Q966" s="309">
        <v>1013408</v>
      </c>
      <c r="R966" s="368">
        <f t="shared" si="79"/>
        <v>2.7402974099123723E-3</v>
      </c>
    </row>
    <row r="967" spans="2:18" x14ac:dyDescent="0.3">
      <c r="B967" s="54" t="s">
        <v>1624</v>
      </c>
      <c r="C967" s="54" t="s">
        <v>1468</v>
      </c>
      <c r="E967" s="1">
        <v>1097283</v>
      </c>
      <c r="F967" s="309">
        <v>22343</v>
      </c>
      <c r="G967" s="309">
        <v>2451707</v>
      </c>
      <c r="H967" s="368">
        <f t="shared" si="77"/>
        <v>3.4583310078732106E-3</v>
      </c>
      <c r="J967" s="1">
        <v>1032902</v>
      </c>
      <c r="K967" s="309">
        <v>33060</v>
      </c>
      <c r="L967" s="309">
        <v>3414815</v>
      </c>
      <c r="M967" s="368">
        <f t="shared" si="78"/>
        <v>4.7510599983880027E-3</v>
      </c>
      <c r="O967" s="1">
        <v>1052547</v>
      </c>
      <c r="P967" s="309">
        <v>33013</v>
      </c>
      <c r="Q967" s="309">
        <v>3474766</v>
      </c>
      <c r="R967" s="368">
        <f t="shared" si="79"/>
        <v>4.8803294103460558E-3</v>
      </c>
    </row>
    <row r="968" spans="2:18" x14ac:dyDescent="0.3">
      <c r="B968" s="54" t="s">
        <v>1624</v>
      </c>
      <c r="C968" s="54" t="s">
        <v>27</v>
      </c>
      <c r="E968" s="1">
        <v>6015</v>
      </c>
      <c r="F968" s="309">
        <v>10200</v>
      </c>
      <c r="G968" s="309">
        <v>6135</v>
      </c>
      <c r="H968" s="368">
        <f t="shared" si="77"/>
        <v>1.7087107979234076E-5</v>
      </c>
      <c r="J968" s="1">
        <v>18883</v>
      </c>
      <c r="K968" s="309">
        <v>11291</v>
      </c>
      <c r="L968" s="309">
        <v>21321</v>
      </c>
      <c r="M968" s="368">
        <f t="shared" si="78"/>
        <v>6.1945716614944947E-5</v>
      </c>
      <c r="O968" s="1">
        <v>19133</v>
      </c>
      <c r="P968" s="309">
        <v>11997</v>
      </c>
      <c r="Q968" s="309">
        <v>22953</v>
      </c>
      <c r="R968" s="368">
        <f t="shared" si="79"/>
        <v>6.8871196675704082E-5</v>
      </c>
    </row>
    <row r="969" spans="2:18" x14ac:dyDescent="0.3">
      <c r="B969" s="54" t="s">
        <v>1624</v>
      </c>
      <c r="C969" s="54" t="s">
        <v>1470</v>
      </c>
      <c r="E969" s="1">
        <v>43779</v>
      </c>
      <c r="F969" s="309">
        <v>699105</v>
      </c>
      <c r="G969" s="309">
        <v>3060610</v>
      </c>
      <c r="H969" s="368">
        <f t="shared" si="77"/>
        <v>1.6915275648673265E-3</v>
      </c>
      <c r="J969" s="1">
        <v>44598</v>
      </c>
      <c r="K969" s="309">
        <v>699092</v>
      </c>
      <c r="L969" s="309">
        <v>3117812</v>
      </c>
      <c r="M969" s="368">
        <f t="shared" si="78"/>
        <v>1.6372063747399535E-3</v>
      </c>
      <c r="O969" s="1">
        <v>51344</v>
      </c>
      <c r="P969" s="309">
        <v>699100</v>
      </c>
      <c r="Q969" s="309">
        <v>3589459</v>
      </c>
      <c r="R969" s="368">
        <f t="shared" si="79"/>
        <v>1.8641852293882107E-3</v>
      </c>
    </row>
    <row r="970" spans="2:18" x14ac:dyDescent="0.3">
      <c r="B970" s="54" t="s">
        <v>1624</v>
      </c>
      <c r="C970" s="54" t="s">
        <v>26</v>
      </c>
      <c r="E970" s="1">
        <v>42629</v>
      </c>
      <c r="F970" s="309">
        <v>11839</v>
      </c>
      <c r="G970" s="309">
        <v>50467</v>
      </c>
      <c r="H970" s="368">
        <f t="shared" si="77"/>
        <v>6.5374486893441975E-5</v>
      </c>
      <c r="J970" s="1">
        <v>51968</v>
      </c>
      <c r="K970" s="309">
        <v>10901</v>
      </c>
      <c r="L970" s="309">
        <v>56651</v>
      </c>
      <c r="M970" s="368">
        <f t="shared" si="78"/>
        <v>7.727231454925493E-5</v>
      </c>
      <c r="O970" s="1">
        <v>42177</v>
      </c>
      <c r="P970" s="309">
        <v>15029</v>
      </c>
      <c r="Q970" s="309">
        <v>63388</v>
      </c>
      <c r="R970" s="368">
        <f t="shared" si="79"/>
        <v>8.2812775559337569E-5</v>
      </c>
    </row>
    <row r="971" spans="2:18" x14ac:dyDescent="0.3">
      <c r="B971" s="54" t="s">
        <v>1625</v>
      </c>
      <c r="C971" s="54" t="s">
        <v>24</v>
      </c>
      <c r="E971" s="1">
        <v>33481220</v>
      </c>
      <c r="F971" s="309">
        <v>110837</v>
      </c>
      <c r="G971" s="309">
        <v>371096030</v>
      </c>
      <c r="H971" s="368">
        <f t="shared" si="77"/>
        <v>0.32739593584370241</v>
      </c>
      <c r="J971" s="1">
        <v>32891580</v>
      </c>
      <c r="K971" s="309">
        <v>110746</v>
      </c>
      <c r="L971" s="309">
        <v>364262150</v>
      </c>
      <c r="M971" s="368">
        <f t="shared" si="78"/>
        <v>0.32502213471903979</v>
      </c>
      <c r="O971" s="1">
        <v>32950670</v>
      </c>
      <c r="P971" s="309">
        <v>105323</v>
      </c>
      <c r="Q971" s="309">
        <v>347047570</v>
      </c>
      <c r="R971" s="368">
        <f t="shared" si="79"/>
        <v>0.30292437629186464</v>
      </c>
    </row>
    <row r="972" spans="2:18" x14ac:dyDescent="0.3">
      <c r="B972" s="54" t="s">
        <v>1625</v>
      </c>
      <c r="C972" s="54" t="s">
        <v>25</v>
      </c>
      <c r="E972" s="1">
        <v>422690</v>
      </c>
      <c r="F972" s="309">
        <v>483887</v>
      </c>
      <c r="G972" s="309">
        <v>20453430</v>
      </c>
      <c r="H972" s="368">
        <f t="shared" si="77"/>
        <v>5.5352330800354628E-2</v>
      </c>
      <c r="J972" s="1">
        <v>410670</v>
      </c>
      <c r="K972" s="309">
        <v>497274</v>
      </c>
      <c r="L972" s="309">
        <v>20421560</v>
      </c>
      <c r="M972" s="368">
        <f t="shared" si="78"/>
        <v>5.5998252856353584E-2</v>
      </c>
      <c r="O972" s="1">
        <v>381290</v>
      </c>
      <c r="P972" s="309">
        <v>503081</v>
      </c>
      <c r="Q972" s="309">
        <v>19181970</v>
      </c>
      <c r="R972" s="368">
        <f t="shared" si="79"/>
        <v>5.1868845231157472E-2</v>
      </c>
    </row>
    <row r="973" spans="2:18" x14ac:dyDescent="0.3">
      <c r="B973" s="54" t="s">
        <v>1625</v>
      </c>
      <c r="C973" s="54" t="s">
        <v>1468</v>
      </c>
      <c r="E973" s="1">
        <v>960730</v>
      </c>
      <c r="F973" s="309">
        <v>84147</v>
      </c>
      <c r="G973" s="309">
        <v>8084290</v>
      </c>
      <c r="H973" s="368">
        <f t="shared" si="77"/>
        <v>1.1403544870426736E-2</v>
      </c>
      <c r="J973" s="1">
        <v>1177650</v>
      </c>
      <c r="K973" s="309">
        <v>86213</v>
      </c>
      <c r="L973" s="309">
        <v>10152890</v>
      </c>
      <c r="M973" s="368">
        <f t="shared" si="78"/>
        <v>1.4125798775931805E-2</v>
      </c>
      <c r="O973" s="1">
        <v>1000390</v>
      </c>
      <c r="P973" s="309">
        <v>83735</v>
      </c>
      <c r="Q973" s="309">
        <v>8376720</v>
      </c>
      <c r="R973" s="368">
        <f t="shared" si="79"/>
        <v>1.1765152812659619E-2</v>
      </c>
    </row>
    <row r="974" spans="2:18" x14ac:dyDescent="0.3">
      <c r="B974" s="54" t="s">
        <v>1625</v>
      </c>
      <c r="C974" s="54" t="s">
        <v>27</v>
      </c>
      <c r="E974" s="1">
        <v>36236750</v>
      </c>
      <c r="F974" s="309">
        <v>33133</v>
      </c>
      <c r="G974" s="309">
        <v>120064970</v>
      </c>
      <c r="H974" s="368">
        <f t="shared" si="77"/>
        <v>0.33440311441132842</v>
      </c>
      <c r="J974" s="1">
        <v>35448420</v>
      </c>
      <c r="K974" s="309">
        <v>33997</v>
      </c>
      <c r="L974" s="309">
        <v>120514490</v>
      </c>
      <c r="M974" s="368">
        <f t="shared" si="78"/>
        <v>0.35014100865506387</v>
      </c>
      <c r="O974" s="1">
        <v>30352150</v>
      </c>
      <c r="P974" s="309">
        <v>31890</v>
      </c>
      <c r="Q974" s="309">
        <v>96793180</v>
      </c>
      <c r="R974" s="368">
        <f t="shared" si="79"/>
        <v>0.29043097358283571</v>
      </c>
    </row>
    <row r="975" spans="2:18" x14ac:dyDescent="0.3">
      <c r="B975" s="54" t="s">
        <v>1625</v>
      </c>
      <c r="C975" s="54" t="s">
        <v>1469</v>
      </c>
      <c r="E975" s="1">
        <v>450740</v>
      </c>
      <c r="F975" s="309">
        <v>710810</v>
      </c>
      <c r="G975" s="309">
        <v>32039040</v>
      </c>
      <c r="H975" s="368">
        <f t="shared" si="77"/>
        <v>0.10203860320100867</v>
      </c>
      <c r="J975" s="1">
        <v>443700</v>
      </c>
      <c r="K975" s="309">
        <v>680481</v>
      </c>
      <c r="L975" s="309">
        <v>30192920</v>
      </c>
      <c r="M975" s="368">
        <f t="shared" si="78"/>
        <v>0.11030918354463208</v>
      </c>
      <c r="O975" s="1">
        <v>396310</v>
      </c>
      <c r="P975" s="309">
        <v>654676</v>
      </c>
      <c r="Q975" s="309">
        <v>25945480</v>
      </c>
      <c r="R975" s="368">
        <f t="shared" si="79"/>
        <v>9.3162183797527012E-2</v>
      </c>
    </row>
    <row r="976" spans="2:18" x14ac:dyDescent="0.3">
      <c r="B976" s="54" t="s">
        <v>1625</v>
      </c>
      <c r="C976" s="54" t="s">
        <v>1470</v>
      </c>
      <c r="E976" s="1">
        <v>365880</v>
      </c>
      <c r="F976" s="309">
        <v>824123</v>
      </c>
      <c r="G976" s="309">
        <v>30153010</v>
      </c>
      <c r="H976" s="368">
        <f t="shared" si="77"/>
        <v>1.6664863402628936E-2</v>
      </c>
      <c r="J976" s="1">
        <v>364100</v>
      </c>
      <c r="K976" s="309">
        <v>860642</v>
      </c>
      <c r="L976" s="309">
        <v>31335980</v>
      </c>
      <c r="M976" s="368">
        <f t="shared" si="78"/>
        <v>1.645495822542337E-2</v>
      </c>
      <c r="O976" s="1">
        <v>369560</v>
      </c>
      <c r="P976" s="309">
        <v>783980</v>
      </c>
      <c r="Q976" s="309">
        <v>28972760</v>
      </c>
      <c r="R976" s="368">
        <f t="shared" si="79"/>
        <v>1.5047000466256774E-2</v>
      </c>
    </row>
    <row r="977" spans="2:18" x14ac:dyDescent="0.3">
      <c r="B977" s="54" t="s">
        <v>1625</v>
      </c>
      <c r="C977" s="54" t="s">
        <v>26</v>
      </c>
      <c r="E977" s="1">
        <v>15198130</v>
      </c>
      <c r="F977" s="309">
        <v>31175</v>
      </c>
      <c r="G977" s="309">
        <v>47379810</v>
      </c>
      <c r="H977" s="368">
        <f t="shared" si="77"/>
        <v>6.1375369406914834E-2</v>
      </c>
      <c r="J977" s="1">
        <v>16030580</v>
      </c>
      <c r="K977" s="309">
        <v>32005</v>
      </c>
      <c r="L977" s="309">
        <v>51305540</v>
      </c>
      <c r="M977" s="368">
        <f t="shared" si="78"/>
        <v>6.9981074032221521E-2</v>
      </c>
      <c r="O977" s="1">
        <v>15039090</v>
      </c>
      <c r="P977" s="309">
        <v>34748</v>
      </c>
      <c r="Q977" s="309">
        <v>52257620</v>
      </c>
      <c r="R977" s="368">
        <f t="shared" si="79"/>
        <v>6.8271574372517671E-2</v>
      </c>
    </row>
    <row r="978" spans="2:18" x14ac:dyDescent="0.3">
      <c r="B978" s="54" t="s">
        <v>23</v>
      </c>
      <c r="C978" s="54" t="s">
        <v>24</v>
      </c>
      <c r="E978" s="1">
        <v>66000</v>
      </c>
      <c r="F978" s="309">
        <v>71364</v>
      </c>
      <c r="G978" s="309">
        <v>471000</v>
      </c>
      <c r="H978" s="368">
        <f t="shared" si="77"/>
        <v>4.1553526127019962E-4</v>
      </c>
      <c r="J978" s="1">
        <v>71200</v>
      </c>
      <c r="K978" s="309">
        <v>43399</v>
      </c>
      <c r="L978" s="309">
        <v>309000</v>
      </c>
      <c r="M978" s="368">
        <f t="shared" si="78"/>
        <v>2.7571308089018666E-4</v>
      </c>
      <c r="O978" s="1">
        <v>107000</v>
      </c>
      <c r="P978" s="309">
        <v>76262</v>
      </c>
      <c r="Q978" s="309">
        <v>816000</v>
      </c>
      <c r="R978" s="368">
        <f t="shared" si="79"/>
        <v>7.1225478125134709E-4</v>
      </c>
    </row>
    <row r="979" spans="2:18" x14ac:dyDescent="0.3">
      <c r="B979" s="54" t="s">
        <v>23</v>
      </c>
      <c r="C979" s="54" t="s">
        <v>25</v>
      </c>
      <c r="E979" s="1">
        <v>4769</v>
      </c>
      <c r="F979" s="309">
        <v>197792</v>
      </c>
      <c r="G979" s="309">
        <v>94327</v>
      </c>
      <c r="H979" s="368">
        <f t="shared" si="77"/>
        <v>2.5527353150083145E-4</v>
      </c>
      <c r="J979" s="1">
        <v>4167</v>
      </c>
      <c r="K979" s="309">
        <v>208783</v>
      </c>
      <c r="L979" s="309">
        <v>87000</v>
      </c>
      <c r="M979" s="368">
        <f t="shared" si="78"/>
        <v>2.3856394900794855E-4</v>
      </c>
      <c r="O979" s="1">
        <v>4053</v>
      </c>
      <c r="P979" s="309">
        <v>232914</v>
      </c>
      <c r="Q979" s="309">
        <v>94400</v>
      </c>
      <c r="R979" s="368">
        <f t="shared" si="79"/>
        <v>2.5526152891602194E-4</v>
      </c>
    </row>
    <row r="980" spans="2:18" x14ac:dyDescent="0.3">
      <c r="B980" s="54" t="s">
        <v>23</v>
      </c>
      <c r="C980" s="54" t="s">
        <v>1468</v>
      </c>
      <c r="E980" s="1">
        <v>164457</v>
      </c>
      <c r="F980" s="309">
        <v>85711</v>
      </c>
      <c r="G980" s="309">
        <v>1409582</v>
      </c>
      <c r="H980" s="368">
        <f t="shared" si="77"/>
        <v>1.9883294124216052E-3</v>
      </c>
      <c r="J980" s="1">
        <v>162400</v>
      </c>
      <c r="K980" s="309">
        <v>76786</v>
      </c>
      <c r="L980" s="309">
        <v>1247000</v>
      </c>
      <c r="M980" s="368">
        <f t="shared" si="78"/>
        <v>1.7349612842832889E-3</v>
      </c>
      <c r="O980" s="1">
        <v>145000</v>
      </c>
      <c r="P980" s="309">
        <v>82759</v>
      </c>
      <c r="Q980" s="309">
        <v>1200000</v>
      </c>
      <c r="R980" s="368">
        <f t="shared" si="79"/>
        <v>1.6854071014897887E-3</v>
      </c>
    </row>
    <row r="981" spans="2:18" x14ac:dyDescent="0.3">
      <c r="B981" s="54" t="s">
        <v>23</v>
      </c>
      <c r="C981" s="54" t="s">
        <v>27</v>
      </c>
      <c r="E981" s="1">
        <v>1089000</v>
      </c>
      <c r="F981" s="309">
        <v>29495</v>
      </c>
      <c r="G981" s="309">
        <v>3212000</v>
      </c>
      <c r="H981" s="368">
        <f t="shared" si="77"/>
        <v>8.9460131751100003E-3</v>
      </c>
      <c r="J981" s="1">
        <v>1099000</v>
      </c>
      <c r="K981" s="309">
        <v>12138</v>
      </c>
      <c r="L981" s="309">
        <v>1334000</v>
      </c>
      <c r="M981" s="368">
        <f t="shared" si="78"/>
        <v>3.8757837795758438E-3</v>
      </c>
      <c r="O981" s="1">
        <v>966000</v>
      </c>
      <c r="P981" s="309">
        <v>29275</v>
      </c>
      <c r="Q981" s="309">
        <v>2828000</v>
      </c>
      <c r="R981" s="368">
        <f t="shared" si="79"/>
        <v>8.4855027316207542E-3</v>
      </c>
    </row>
    <row r="982" spans="2:18" x14ac:dyDescent="0.3">
      <c r="B982" s="54" t="s">
        <v>23</v>
      </c>
      <c r="C982" s="54" t="s">
        <v>1469</v>
      </c>
      <c r="E982" s="1">
        <v>0</v>
      </c>
      <c r="F982" s="309"/>
      <c r="G982" s="309">
        <v>0</v>
      </c>
      <c r="H982" s="368">
        <f t="shared" si="77"/>
        <v>0</v>
      </c>
      <c r="J982" s="1">
        <v>0</v>
      </c>
      <c r="K982" s="309"/>
      <c r="L982" s="309">
        <v>0</v>
      </c>
      <c r="M982" s="368">
        <f t="shared" si="78"/>
        <v>0</v>
      </c>
      <c r="O982" s="1">
        <v>0</v>
      </c>
      <c r="P982" s="309"/>
      <c r="Q982" s="309">
        <v>0</v>
      </c>
      <c r="R982" s="368">
        <f t="shared" si="79"/>
        <v>0</v>
      </c>
    </row>
    <row r="983" spans="2:18" x14ac:dyDescent="0.3">
      <c r="B983" s="54" t="s">
        <v>23</v>
      </c>
      <c r="C983" s="54" t="s">
        <v>1470</v>
      </c>
      <c r="E983" s="1">
        <v>6200</v>
      </c>
      <c r="F983" s="309">
        <v>560806</v>
      </c>
      <c r="G983" s="309">
        <v>347700</v>
      </c>
      <c r="H983" s="368">
        <f t="shared" si="77"/>
        <v>1.9216565792582832E-4</v>
      </c>
      <c r="J983" s="1">
        <v>6200</v>
      </c>
      <c r="K983" s="309">
        <v>574194</v>
      </c>
      <c r="L983" s="309">
        <v>356000</v>
      </c>
      <c r="M983" s="368">
        <f t="shared" si="78"/>
        <v>1.8694054337061486E-4</v>
      </c>
      <c r="O983" s="1">
        <v>6431</v>
      </c>
      <c r="P983" s="309">
        <v>557529</v>
      </c>
      <c r="Q983" s="309">
        <v>358547</v>
      </c>
      <c r="R983" s="368">
        <f t="shared" si="79"/>
        <v>1.8621135425741169E-4</v>
      </c>
    </row>
    <row r="984" spans="2:18" x14ac:dyDescent="0.3">
      <c r="B984" s="54" t="s">
        <v>23</v>
      </c>
      <c r="C984" s="54" t="s">
        <v>26</v>
      </c>
      <c r="E984" s="1">
        <v>215000</v>
      </c>
      <c r="F984" s="309">
        <v>35209</v>
      </c>
      <c r="G984" s="309">
        <v>757000</v>
      </c>
      <c r="H984" s="368">
        <f t="shared" si="77"/>
        <v>9.8061082644769005E-4</v>
      </c>
      <c r="J984" s="1">
        <v>193000</v>
      </c>
      <c r="K984" s="309">
        <v>22798</v>
      </c>
      <c r="L984" s="309">
        <v>440000</v>
      </c>
      <c r="M984" s="368">
        <f t="shared" si="78"/>
        <v>6.0016272266459852E-4</v>
      </c>
      <c r="O984" s="1">
        <v>198400</v>
      </c>
      <c r="P984" s="309">
        <v>36673</v>
      </c>
      <c r="Q984" s="309">
        <v>727600</v>
      </c>
      <c r="R984" s="368">
        <f t="shared" si="79"/>
        <v>9.5056754428241963E-4</v>
      </c>
    </row>
    <row r="985" spans="2:18" x14ac:dyDescent="0.3">
      <c r="B985" s="54" t="s">
        <v>1626</v>
      </c>
      <c r="C985" s="54" t="s">
        <v>24</v>
      </c>
      <c r="E985" s="1">
        <v>37417</v>
      </c>
      <c r="F985" s="309">
        <v>104078</v>
      </c>
      <c r="G985" s="309">
        <v>389427</v>
      </c>
      <c r="H985" s="368">
        <f t="shared" si="77"/>
        <v>3.4356825942817419E-4</v>
      </c>
      <c r="J985" s="1">
        <v>39813</v>
      </c>
      <c r="K985" s="309">
        <v>103776</v>
      </c>
      <c r="L985" s="309">
        <v>413165</v>
      </c>
      <c r="M985" s="368">
        <f t="shared" si="78"/>
        <v>3.6865694196114551E-4</v>
      </c>
      <c r="O985" s="1">
        <v>43432</v>
      </c>
      <c r="P985" s="309">
        <v>96996</v>
      </c>
      <c r="Q985" s="309">
        <v>421273</v>
      </c>
      <c r="R985" s="368">
        <f t="shared" si="79"/>
        <v>3.6771287801727788E-4</v>
      </c>
    </row>
    <row r="986" spans="2:18" x14ac:dyDescent="0.3">
      <c r="B986" s="54" t="s">
        <v>1626</v>
      </c>
      <c r="C986" s="54" t="s">
        <v>25</v>
      </c>
      <c r="E986" s="1">
        <v>78251</v>
      </c>
      <c r="F986" s="309">
        <v>357016</v>
      </c>
      <c r="G986" s="309">
        <v>2793689</v>
      </c>
      <c r="H986" s="368">
        <f t="shared" si="77"/>
        <v>7.5604530722383446E-3</v>
      </c>
      <c r="J986" s="1">
        <v>86443</v>
      </c>
      <c r="K986" s="309">
        <v>336862</v>
      </c>
      <c r="L986" s="309">
        <v>2911933</v>
      </c>
      <c r="M986" s="368">
        <f t="shared" si="78"/>
        <v>7.984853284213363E-3</v>
      </c>
      <c r="O986" s="1">
        <v>89195</v>
      </c>
      <c r="P986" s="309">
        <v>346394</v>
      </c>
      <c r="Q986" s="309">
        <v>3089658</v>
      </c>
      <c r="R986" s="368">
        <f t="shared" si="79"/>
        <v>8.3545638231739255E-3</v>
      </c>
    </row>
    <row r="987" spans="2:18" x14ac:dyDescent="0.3">
      <c r="B987" s="54" t="s">
        <v>1626</v>
      </c>
      <c r="C987" s="54" t="s">
        <v>1468</v>
      </c>
      <c r="E987" s="1">
        <v>71289</v>
      </c>
      <c r="F987" s="309">
        <v>55467</v>
      </c>
      <c r="G987" s="309">
        <v>395422</v>
      </c>
      <c r="H987" s="368">
        <f t="shared" si="77"/>
        <v>5.5777471116868398E-4</v>
      </c>
      <c r="J987" s="1">
        <v>42141</v>
      </c>
      <c r="K987" s="309">
        <v>52464</v>
      </c>
      <c r="L987" s="309">
        <v>221089</v>
      </c>
      <c r="M987" s="368">
        <f t="shared" si="78"/>
        <v>3.0760293133994231E-4</v>
      </c>
      <c r="O987" s="1">
        <v>64923</v>
      </c>
      <c r="P987" s="309">
        <v>48466</v>
      </c>
      <c r="Q987" s="309">
        <v>314659</v>
      </c>
      <c r="R987" s="368">
        <f t="shared" si="79"/>
        <v>4.4194042762306281E-4</v>
      </c>
    </row>
    <row r="988" spans="2:18" x14ac:dyDescent="0.3">
      <c r="B988" s="54" t="s">
        <v>1626</v>
      </c>
      <c r="C988" s="54" t="s">
        <v>27</v>
      </c>
      <c r="E988" s="1">
        <v>2391</v>
      </c>
      <c r="F988" s="309">
        <v>25671</v>
      </c>
      <c r="G988" s="309">
        <v>6138</v>
      </c>
      <c r="H988" s="368">
        <f t="shared" si="77"/>
        <v>1.7095463533258152E-5</v>
      </c>
      <c r="J988" s="1">
        <v>5998</v>
      </c>
      <c r="K988" s="309">
        <v>19005</v>
      </c>
      <c r="L988" s="309">
        <v>11399</v>
      </c>
      <c r="M988" s="368">
        <f t="shared" si="78"/>
        <v>3.3118485234921319E-5</v>
      </c>
      <c r="O988" s="1">
        <v>3099</v>
      </c>
      <c r="P988" s="309">
        <v>35037</v>
      </c>
      <c r="Q988" s="309">
        <v>10858</v>
      </c>
      <c r="R988" s="368">
        <f t="shared" si="79"/>
        <v>3.2579769681732019E-5</v>
      </c>
    </row>
    <row r="989" spans="2:18" x14ac:dyDescent="0.3">
      <c r="B989" s="54" t="s">
        <v>1626</v>
      </c>
      <c r="C989" s="54" t="s">
        <v>1469</v>
      </c>
      <c r="E989" s="1">
        <v>0</v>
      </c>
      <c r="F989" s="309"/>
      <c r="G989" s="309">
        <v>0</v>
      </c>
      <c r="H989" s="368">
        <f t="shared" si="77"/>
        <v>0</v>
      </c>
      <c r="J989" s="1">
        <v>0</v>
      </c>
      <c r="K989" s="309"/>
      <c r="L989" s="309">
        <v>0</v>
      </c>
      <c r="M989" s="368">
        <f t="shared" si="78"/>
        <v>0</v>
      </c>
      <c r="O989" s="1">
        <v>0</v>
      </c>
      <c r="P989" s="309"/>
      <c r="Q989" s="309">
        <v>0</v>
      </c>
      <c r="R989" s="368">
        <f t="shared" si="79"/>
        <v>0</v>
      </c>
    </row>
    <row r="990" spans="2:18" x14ac:dyDescent="0.3">
      <c r="B990" s="54" t="s">
        <v>1626</v>
      </c>
      <c r="C990" s="54" t="s">
        <v>26</v>
      </c>
      <c r="E990" s="1">
        <v>1408343</v>
      </c>
      <c r="F990" s="309">
        <v>43165</v>
      </c>
      <c r="G990" s="309">
        <v>6079164</v>
      </c>
      <c r="H990" s="368">
        <f t="shared" si="77"/>
        <v>7.8748930437926631E-3</v>
      </c>
      <c r="J990" s="1">
        <v>1311376</v>
      </c>
      <c r="K990" s="309">
        <v>41260</v>
      </c>
      <c r="L990" s="309">
        <v>5410760</v>
      </c>
      <c r="M990" s="368">
        <f t="shared" si="78"/>
        <v>7.3803101211015977E-3</v>
      </c>
      <c r="O990" s="1">
        <v>1310630</v>
      </c>
      <c r="P990" s="309">
        <v>46493</v>
      </c>
      <c r="Q990" s="309">
        <v>6093462</v>
      </c>
      <c r="R990" s="368">
        <f t="shared" si="79"/>
        <v>7.9607575721801008E-3</v>
      </c>
    </row>
    <row r="991" spans="2:18" x14ac:dyDescent="0.3">
      <c r="B991" s="54" t="s">
        <v>1627</v>
      </c>
      <c r="C991" s="54" t="s">
        <v>24</v>
      </c>
      <c r="E991" s="1">
        <v>1472</v>
      </c>
      <c r="F991" s="309">
        <v>6080</v>
      </c>
      <c r="G991" s="309">
        <v>895</v>
      </c>
      <c r="H991" s="368">
        <f t="shared" si="77"/>
        <v>7.8960522046035808E-7</v>
      </c>
      <c r="J991" s="1">
        <v>1487</v>
      </c>
      <c r="K991" s="309">
        <v>6120</v>
      </c>
      <c r="L991" s="309">
        <v>910</v>
      </c>
      <c r="M991" s="368">
        <f t="shared" si="78"/>
        <v>8.119705618448862E-7</v>
      </c>
      <c r="O991" s="1">
        <v>1488</v>
      </c>
      <c r="P991" s="309">
        <v>6156</v>
      </c>
      <c r="Q991" s="309">
        <v>916</v>
      </c>
      <c r="R991" s="368">
        <f t="shared" si="79"/>
        <v>7.9954090640469845E-7</v>
      </c>
    </row>
    <row r="992" spans="2:18" x14ac:dyDescent="0.3">
      <c r="B992" s="54" t="s">
        <v>1628</v>
      </c>
      <c r="C992" s="54" t="s">
        <v>28</v>
      </c>
      <c r="E992" s="1">
        <v>37862</v>
      </c>
      <c r="F992" s="309">
        <v>121072</v>
      </c>
      <c r="G992" s="309">
        <v>458404</v>
      </c>
      <c r="H992" s="368">
        <f t="shared" si="77"/>
        <v>1.6211072432229026E-3</v>
      </c>
      <c r="J992" s="1">
        <v>34101</v>
      </c>
      <c r="K992" s="309">
        <v>125432</v>
      </c>
      <c r="L992" s="309">
        <v>427736</v>
      </c>
      <c r="M992" s="368">
        <f t="shared" si="78"/>
        <v>1.47139989164432E-3</v>
      </c>
      <c r="O992" s="1">
        <v>33761</v>
      </c>
      <c r="P992" s="309">
        <v>124884</v>
      </c>
      <c r="Q992" s="309">
        <v>421620</v>
      </c>
      <c r="R992" s="368">
        <f t="shared" si="79"/>
        <v>1.4087886579742315E-3</v>
      </c>
    </row>
    <row r="993" spans="2:18" x14ac:dyDescent="0.3">
      <c r="B993" s="54" t="s">
        <v>1628</v>
      </c>
      <c r="C993" s="54" t="s">
        <v>24</v>
      </c>
      <c r="E993" s="1">
        <v>413628</v>
      </c>
      <c r="F993" s="309">
        <v>30998</v>
      </c>
      <c r="G993" s="309">
        <v>1282179</v>
      </c>
      <c r="H993" s="368">
        <f t="shared" si="77"/>
        <v>1.1311902033124485E-3</v>
      </c>
      <c r="J993" s="1">
        <v>437695</v>
      </c>
      <c r="K993" s="309">
        <v>40582</v>
      </c>
      <c r="L993" s="309">
        <v>1776252</v>
      </c>
      <c r="M993" s="368">
        <f t="shared" si="78"/>
        <v>1.5849058619979153E-3</v>
      </c>
      <c r="O993" s="1">
        <v>500218</v>
      </c>
      <c r="P993" s="309">
        <v>38793</v>
      </c>
      <c r="Q993" s="309">
        <v>1940504</v>
      </c>
      <c r="R993" s="368">
        <f t="shared" si="79"/>
        <v>1.6937907500457893E-3</v>
      </c>
    </row>
    <row r="994" spans="2:18" x14ac:dyDescent="0.3">
      <c r="B994" s="54" t="s">
        <v>1628</v>
      </c>
      <c r="C994" s="54" t="s">
        <v>1472</v>
      </c>
      <c r="E994" s="1">
        <v>47103</v>
      </c>
      <c r="F994" s="309">
        <v>111029</v>
      </c>
      <c r="G994" s="309">
        <v>522982</v>
      </c>
      <c r="H994" s="368">
        <f t="shared" si="77"/>
        <v>1.3064908717949318E-3</v>
      </c>
      <c r="J994" s="1">
        <v>43041</v>
      </c>
      <c r="K994" s="309">
        <v>105227</v>
      </c>
      <c r="L994" s="309">
        <v>452907</v>
      </c>
      <c r="M994" s="368">
        <f t="shared" si="78"/>
        <v>1.1222143559132785E-3</v>
      </c>
      <c r="O994" s="1">
        <v>41605</v>
      </c>
      <c r="P994" s="309">
        <v>104663</v>
      </c>
      <c r="Q994" s="309">
        <v>435452</v>
      </c>
      <c r="R994" s="368">
        <f t="shared" si="79"/>
        <v>1.0602763754425371E-3</v>
      </c>
    </row>
    <row r="995" spans="2:18" x14ac:dyDescent="0.3">
      <c r="B995" s="54" t="s">
        <v>1628</v>
      </c>
      <c r="C995" s="54" t="s">
        <v>25</v>
      </c>
      <c r="E995" s="1">
        <v>21337</v>
      </c>
      <c r="F995" s="309">
        <v>197313</v>
      </c>
      <c r="G995" s="309">
        <v>421006</v>
      </c>
      <c r="H995" s="368">
        <f t="shared" si="77"/>
        <v>1.1393523424156292E-3</v>
      </c>
      <c r="J995" s="1">
        <v>22626</v>
      </c>
      <c r="K995" s="309">
        <v>196976</v>
      </c>
      <c r="L995" s="309">
        <v>445679</v>
      </c>
      <c r="M995" s="368">
        <f t="shared" si="78"/>
        <v>1.2221027842518792E-3</v>
      </c>
      <c r="O995" s="1">
        <v>24498</v>
      </c>
      <c r="P995" s="309">
        <v>194735</v>
      </c>
      <c r="Q995" s="309">
        <v>477061</v>
      </c>
      <c r="R995" s="368">
        <f t="shared" si="79"/>
        <v>1.2899927992182875E-3</v>
      </c>
    </row>
    <row r="996" spans="2:18" x14ac:dyDescent="0.3">
      <c r="B996" s="54" t="s">
        <v>1628</v>
      </c>
      <c r="C996" s="54" t="s">
        <v>1468</v>
      </c>
      <c r="E996" s="1">
        <v>168659</v>
      </c>
      <c r="F996" s="309">
        <v>34898</v>
      </c>
      <c r="G996" s="309">
        <v>588587</v>
      </c>
      <c r="H996" s="368">
        <f t="shared" si="77"/>
        <v>8.3024956609051141E-4</v>
      </c>
      <c r="J996" s="1">
        <v>170654</v>
      </c>
      <c r="K996" s="309">
        <v>40974</v>
      </c>
      <c r="L996" s="309">
        <v>699238</v>
      </c>
      <c r="M996" s="368">
        <f t="shared" si="78"/>
        <v>9.7285554009597305E-4</v>
      </c>
      <c r="O996" s="1">
        <v>179041</v>
      </c>
      <c r="P996" s="309">
        <v>42707</v>
      </c>
      <c r="Q996" s="309">
        <v>764631</v>
      </c>
      <c r="R996" s="368">
        <f t="shared" si="79"/>
        <v>1.0739287645160321E-3</v>
      </c>
    </row>
    <row r="997" spans="2:18" x14ac:dyDescent="0.3">
      <c r="B997" s="54" t="s">
        <v>1628</v>
      </c>
      <c r="C997" s="54" t="s">
        <v>27</v>
      </c>
      <c r="E997" s="1">
        <v>5387</v>
      </c>
      <c r="F997" s="309">
        <v>14581</v>
      </c>
      <c r="G997" s="309">
        <v>7855</v>
      </c>
      <c r="H997" s="368">
        <f t="shared" si="77"/>
        <v>2.1877625619703938E-5</v>
      </c>
      <c r="J997" s="1">
        <v>4970</v>
      </c>
      <c r="K997" s="309">
        <v>10879</v>
      </c>
      <c r="L997" s="309">
        <v>5407</v>
      </c>
      <c r="M997" s="368">
        <f t="shared" si="78"/>
        <v>1.5709417463393245E-5</v>
      </c>
      <c r="O997" s="1">
        <v>4849</v>
      </c>
      <c r="P997" s="309">
        <v>9519</v>
      </c>
      <c r="Q997" s="309">
        <v>4616</v>
      </c>
      <c r="R997" s="368">
        <f t="shared" si="79"/>
        <v>1.3850452832093847E-5</v>
      </c>
    </row>
    <row r="998" spans="2:18" x14ac:dyDescent="0.3">
      <c r="B998" s="54" t="s">
        <v>1628</v>
      </c>
      <c r="C998" s="54" t="s">
        <v>1469</v>
      </c>
      <c r="E998" s="1">
        <v>1235</v>
      </c>
      <c r="F998" s="309">
        <v>202955</v>
      </c>
      <c r="G998" s="309">
        <v>25065</v>
      </c>
      <c r="H998" s="368">
        <f t="shared" si="77"/>
        <v>7.9827535070753757E-5</v>
      </c>
      <c r="J998" s="1">
        <v>1181</v>
      </c>
      <c r="K998" s="309">
        <v>202286</v>
      </c>
      <c r="L998" s="309">
        <v>23890</v>
      </c>
      <c r="M998" s="368">
        <f t="shared" si="78"/>
        <v>8.7281600947548648E-5</v>
      </c>
      <c r="O998" s="1">
        <v>1194</v>
      </c>
      <c r="P998" s="309">
        <v>204556</v>
      </c>
      <c r="Q998" s="309">
        <v>24424</v>
      </c>
      <c r="R998" s="368">
        <f t="shared" si="79"/>
        <v>8.7699020294509862E-5</v>
      </c>
    </row>
    <row r="999" spans="2:18" x14ac:dyDescent="0.3">
      <c r="B999" s="54" t="s">
        <v>1628</v>
      </c>
      <c r="C999" s="54" t="s">
        <v>1470</v>
      </c>
      <c r="E999" s="1">
        <v>72831</v>
      </c>
      <c r="F999" s="309">
        <v>545544</v>
      </c>
      <c r="G999" s="309">
        <v>3973251</v>
      </c>
      <c r="H999" s="368">
        <f t="shared" si="77"/>
        <v>2.1959229005448816E-3</v>
      </c>
      <c r="J999" s="1">
        <v>72043</v>
      </c>
      <c r="K999" s="309">
        <v>601825</v>
      </c>
      <c r="L999" s="309">
        <v>4335727</v>
      </c>
      <c r="M999" s="368">
        <f t="shared" si="78"/>
        <v>2.2767504530523761E-3</v>
      </c>
      <c r="O999" s="1">
        <v>73339</v>
      </c>
      <c r="P999" s="309">
        <v>597268</v>
      </c>
      <c r="Q999" s="309">
        <v>4380304</v>
      </c>
      <c r="R999" s="368">
        <f t="shared" si="79"/>
        <v>2.2749105135425971E-3</v>
      </c>
    </row>
    <row r="1000" spans="2:18" x14ac:dyDescent="0.3">
      <c r="B1000" s="54" t="s">
        <v>1628</v>
      </c>
      <c r="C1000" s="54" t="s">
        <v>26</v>
      </c>
      <c r="E1000" s="1">
        <v>209</v>
      </c>
      <c r="F1000" s="309">
        <v>27943</v>
      </c>
      <c r="G1000" s="309">
        <v>584</v>
      </c>
      <c r="H1000" s="368">
        <f t="shared" si="77"/>
        <v>7.5650822013930118E-7</v>
      </c>
      <c r="J1000" s="1">
        <v>431</v>
      </c>
      <c r="K1000" s="309">
        <v>26705</v>
      </c>
      <c r="L1000" s="309">
        <v>1151</v>
      </c>
      <c r="M1000" s="368">
        <f t="shared" si="78"/>
        <v>1.5699711222430748E-6</v>
      </c>
      <c r="O1000" s="1">
        <v>495</v>
      </c>
      <c r="P1000" s="309">
        <v>26384</v>
      </c>
      <c r="Q1000" s="309">
        <v>1306</v>
      </c>
      <c r="R1000" s="368">
        <f t="shared" si="79"/>
        <v>1.7062138714030237E-6</v>
      </c>
    </row>
    <row r="1001" spans="2:18" x14ac:dyDescent="0.3">
      <c r="B1001" s="54" t="s">
        <v>1629</v>
      </c>
      <c r="C1001" s="54" t="s">
        <v>28</v>
      </c>
      <c r="E1001" s="1">
        <v>532501</v>
      </c>
      <c r="F1001" s="309">
        <v>192818</v>
      </c>
      <c r="G1001" s="309">
        <v>10267568</v>
      </c>
      <c r="H1001" s="368">
        <f t="shared" si="77"/>
        <v>3.6310391827042723E-2</v>
      </c>
      <c r="J1001" s="1">
        <v>513021</v>
      </c>
      <c r="K1001" s="309">
        <v>191943</v>
      </c>
      <c r="L1001" s="309">
        <v>9847074</v>
      </c>
      <c r="M1001" s="368">
        <f t="shared" si="78"/>
        <v>3.3873659492335458E-2</v>
      </c>
      <c r="O1001" s="1">
        <v>519306</v>
      </c>
      <c r="P1001" s="309">
        <v>194591</v>
      </c>
      <c r="Q1001" s="309">
        <v>10105224</v>
      </c>
      <c r="R1001" s="368">
        <f t="shared" si="79"/>
        <v>3.3765298034934291E-2</v>
      </c>
    </row>
    <row r="1002" spans="2:18" x14ac:dyDescent="0.3">
      <c r="B1002" s="54" t="s">
        <v>1629</v>
      </c>
      <c r="C1002" s="54" t="s">
        <v>24</v>
      </c>
      <c r="E1002" s="1">
        <v>1099274</v>
      </c>
      <c r="F1002" s="309">
        <v>46483</v>
      </c>
      <c r="G1002" s="309">
        <v>5109766</v>
      </c>
      <c r="H1002" s="368">
        <f t="shared" si="77"/>
        <v>4.5080423563473096E-3</v>
      </c>
      <c r="J1002" s="1">
        <v>1032598</v>
      </c>
      <c r="K1002" s="309">
        <v>47202</v>
      </c>
      <c r="L1002" s="309">
        <v>4874054</v>
      </c>
      <c r="M1002" s="368">
        <f t="shared" si="78"/>
        <v>4.3489982031234232E-3</v>
      </c>
      <c r="O1002" s="1">
        <v>991088</v>
      </c>
      <c r="P1002" s="309">
        <v>47990</v>
      </c>
      <c r="Q1002" s="309">
        <v>4756232</v>
      </c>
      <c r="R1002" s="368">
        <f t="shared" si="79"/>
        <v>4.1515306161037466E-3</v>
      </c>
    </row>
    <row r="1003" spans="2:18" x14ac:dyDescent="0.3">
      <c r="B1003" s="54" t="s">
        <v>1629</v>
      </c>
      <c r="C1003" s="54" t="s">
        <v>25</v>
      </c>
      <c r="E1003" s="1">
        <v>20480</v>
      </c>
      <c r="F1003" s="309">
        <v>148279</v>
      </c>
      <c r="G1003" s="309">
        <v>303675</v>
      </c>
      <c r="H1003" s="368">
        <f t="shared" si="77"/>
        <v>8.2182397063953051E-4</v>
      </c>
      <c r="J1003" s="1">
        <v>24673</v>
      </c>
      <c r="K1003" s="309">
        <v>152546</v>
      </c>
      <c r="L1003" s="309">
        <v>376377</v>
      </c>
      <c r="M1003" s="368">
        <f t="shared" si="78"/>
        <v>1.0320687751237316E-3</v>
      </c>
      <c r="O1003" s="1">
        <v>21621</v>
      </c>
      <c r="P1003" s="309">
        <v>154463</v>
      </c>
      <c r="Q1003" s="309">
        <v>333964</v>
      </c>
      <c r="R1003" s="368">
        <f t="shared" si="79"/>
        <v>9.0305255553930455E-4</v>
      </c>
    </row>
    <row r="1004" spans="2:18" x14ac:dyDescent="0.3">
      <c r="B1004" s="54" t="s">
        <v>1629</v>
      </c>
      <c r="C1004" s="54" t="s">
        <v>1468</v>
      </c>
      <c r="E1004" s="1">
        <v>7708534</v>
      </c>
      <c r="F1004" s="309">
        <v>55476</v>
      </c>
      <c r="G1004" s="309">
        <v>42763682</v>
      </c>
      <c r="H1004" s="368">
        <f t="shared" si="77"/>
        <v>6.0321632018601523E-2</v>
      </c>
      <c r="J1004" s="1">
        <v>7570741</v>
      </c>
      <c r="K1004" s="309">
        <v>58180</v>
      </c>
      <c r="L1004" s="309">
        <v>44046250</v>
      </c>
      <c r="M1004" s="368">
        <f t="shared" si="78"/>
        <v>6.1281907351934894E-2</v>
      </c>
      <c r="O1004" s="1">
        <v>7469890</v>
      </c>
      <c r="P1004" s="309">
        <v>58165</v>
      </c>
      <c r="Q1004" s="309">
        <v>43448504</v>
      </c>
      <c r="R1004" s="368">
        <f t="shared" si="79"/>
        <v>6.1023680992256239E-2</v>
      </c>
    </row>
    <row r="1005" spans="2:18" x14ac:dyDescent="0.3">
      <c r="B1005" s="54" t="s">
        <v>1629</v>
      </c>
      <c r="C1005" s="54" t="s">
        <v>27</v>
      </c>
      <c r="E1005" s="1">
        <v>67993</v>
      </c>
      <c r="F1005" s="309">
        <v>14980</v>
      </c>
      <c r="G1005" s="309">
        <v>101856</v>
      </c>
      <c r="H1005" s="368">
        <f t="shared" si="77"/>
        <v>2.8368777022540605E-4</v>
      </c>
      <c r="J1005" s="1">
        <v>53364</v>
      </c>
      <c r="K1005" s="309">
        <v>15244</v>
      </c>
      <c r="L1005" s="309">
        <v>81348</v>
      </c>
      <c r="M1005" s="368">
        <f t="shared" si="78"/>
        <v>2.3634727054043159E-4</v>
      </c>
      <c r="O1005" s="1">
        <v>49661</v>
      </c>
      <c r="P1005" s="309">
        <v>15304</v>
      </c>
      <c r="Q1005" s="309">
        <v>76001</v>
      </c>
      <c r="R1005" s="368">
        <f t="shared" si="79"/>
        <v>2.2804338511524361E-4</v>
      </c>
    </row>
    <row r="1006" spans="2:18" x14ac:dyDescent="0.3">
      <c r="B1006" s="54" t="s">
        <v>1629</v>
      </c>
      <c r="C1006" s="54" t="s">
        <v>1470</v>
      </c>
      <c r="E1006" s="1">
        <v>281149</v>
      </c>
      <c r="F1006" s="309">
        <v>652906</v>
      </c>
      <c r="G1006" s="309">
        <v>18356398</v>
      </c>
      <c r="H1006" s="368">
        <f t="shared" si="77"/>
        <v>1.0145151851649005E-2</v>
      </c>
      <c r="J1006" s="1">
        <v>269434</v>
      </c>
      <c r="K1006" s="309">
        <v>666033</v>
      </c>
      <c r="L1006" s="309">
        <v>17945204</v>
      </c>
      <c r="M1006" s="368">
        <f t="shared" si="78"/>
        <v>9.4232758052149763E-3</v>
      </c>
      <c r="O1006" s="1">
        <v>233387</v>
      </c>
      <c r="P1006" s="309">
        <v>654266</v>
      </c>
      <c r="Q1006" s="309">
        <v>15269716</v>
      </c>
      <c r="R1006" s="368">
        <f t="shared" si="79"/>
        <v>7.9303257187650928E-3</v>
      </c>
    </row>
    <row r="1007" spans="2:18" x14ac:dyDescent="0.3">
      <c r="B1007" s="54" t="s">
        <v>1630</v>
      </c>
      <c r="C1007" s="54" t="s">
        <v>24</v>
      </c>
      <c r="E1007" s="1">
        <v>33223</v>
      </c>
      <c r="F1007" s="309">
        <v>11103</v>
      </c>
      <c r="G1007" s="309">
        <v>36887</v>
      </c>
      <c r="H1007" s="368">
        <f t="shared" si="77"/>
        <v>3.2543204209073998E-5</v>
      </c>
      <c r="J1007" s="1">
        <v>32762</v>
      </c>
      <c r="K1007" s="309">
        <v>11122</v>
      </c>
      <c r="L1007" s="309">
        <v>36438</v>
      </c>
      <c r="M1007" s="368">
        <f t="shared" si="78"/>
        <v>3.251272893681754E-5</v>
      </c>
      <c r="O1007" s="1">
        <v>36578</v>
      </c>
      <c r="P1007" s="309">
        <v>13202</v>
      </c>
      <c r="Q1007" s="309">
        <v>48290</v>
      </c>
      <c r="R1007" s="368">
        <f t="shared" si="79"/>
        <v>4.2150469836553372E-5</v>
      </c>
    </row>
    <row r="1008" spans="2:18" x14ac:dyDescent="0.3">
      <c r="B1008" s="54" t="s">
        <v>1630</v>
      </c>
      <c r="C1008" s="54" t="s">
        <v>25</v>
      </c>
      <c r="E1008" s="1">
        <v>15368</v>
      </c>
      <c r="F1008" s="309">
        <v>156459</v>
      </c>
      <c r="G1008" s="309">
        <v>240446</v>
      </c>
      <c r="H1008" s="368">
        <f t="shared" si="77"/>
        <v>6.5070976025156024E-4</v>
      </c>
      <c r="J1008" s="1">
        <v>16003</v>
      </c>
      <c r="K1008" s="309">
        <v>143584</v>
      </c>
      <c r="L1008" s="309">
        <v>229777</v>
      </c>
      <c r="M1008" s="368">
        <f t="shared" si="78"/>
        <v>6.3007481047355621E-4</v>
      </c>
      <c r="O1008" s="1">
        <v>15711</v>
      </c>
      <c r="P1008" s="309">
        <v>148336</v>
      </c>
      <c r="Q1008" s="309">
        <v>233051</v>
      </c>
      <c r="R1008" s="368">
        <f t="shared" si="79"/>
        <v>6.3017960355304904E-4</v>
      </c>
    </row>
    <row r="1009" spans="2:18" x14ac:dyDescent="0.3">
      <c r="B1009" s="54" t="s">
        <v>1630</v>
      </c>
      <c r="C1009" s="54" t="s">
        <v>1470</v>
      </c>
      <c r="E1009" s="1">
        <v>0</v>
      </c>
      <c r="F1009" s="309"/>
      <c r="G1009" s="309">
        <v>0</v>
      </c>
      <c r="H1009" s="368">
        <f t="shared" si="77"/>
        <v>0</v>
      </c>
      <c r="J1009" s="1">
        <v>0</v>
      </c>
      <c r="K1009" s="309"/>
      <c r="L1009" s="309">
        <v>0</v>
      </c>
      <c r="M1009" s="368">
        <f t="shared" si="78"/>
        <v>0</v>
      </c>
      <c r="O1009" s="1">
        <v>0</v>
      </c>
      <c r="P1009" s="309"/>
      <c r="Q1009" s="309">
        <v>0</v>
      </c>
      <c r="R1009" s="368">
        <f t="shared" si="79"/>
        <v>0</v>
      </c>
    </row>
    <row r="1010" spans="2:18" x14ac:dyDescent="0.3">
      <c r="B1010" s="54" t="s">
        <v>1630</v>
      </c>
      <c r="C1010" s="54" t="s">
        <v>26</v>
      </c>
      <c r="E1010" s="1">
        <v>61362</v>
      </c>
      <c r="F1010" s="309">
        <v>15588</v>
      </c>
      <c r="G1010" s="309">
        <v>95651</v>
      </c>
      <c r="H1010" s="368">
        <f t="shared" si="77"/>
        <v>1.2390542425435666E-4</v>
      </c>
      <c r="J1010" s="1">
        <v>64339</v>
      </c>
      <c r="K1010" s="309">
        <v>14332</v>
      </c>
      <c r="L1010" s="309">
        <v>92210</v>
      </c>
      <c r="M1010" s="368">
        <f t="shared" si="78"/>
        <v>1.2577501058386962E-4</v>
      </c>
      <c r="O1010" s="1">
        <v>57466</v>
      </c>
      <c r="P1010" s="309">
        <v>17459</v>
      </c>
      <c r="Q1010" s="309">
        <v>100332</v>
      </c>
      <c r="R1010" s="368">
        <f t="shared" si="79"/>
        <v>1.3107798632894959E-4</v>
      </c>
    </row>
    <row r="1011" spans="2:18" x14ac:dyDescent="0.3">
      <c r="B1011" s="54" t="s">
        <v>1631</v>
      </c>
      <c r="C1011" s="54" t="s">
        <v>28</v>
      </c>
      <c r="E1011" s="1">
        <v>107586</v>
      </c>
      <c r="F1011" s="309">
        <v>343463</v>
      </c>
      <c r="G1011" s="309">
        <v>3695182</v>
      </c>
      <c r="H1011" s="368">
        <f t="shared" si="77"/>
        <v>1.3067700773175827E-2</v>
      </c>
      <c r="J1011" s="1">
        <v>117716</v>
      </c>
      <c r="K1011" s="309">
        <v>348491</v>
      </c>
      <c r="L1011" s="309">
        <v>4102300</v>
      </c>
      <c r="M1011" s="368">
        <f t="shared" si="78"/>
        <v>1.411179740656034E-2</v>
      </c>
      <c r="O1011" s="1">
        <v>126869</v>
      </c>
      <c r="P1011" s="309">
        <v>318169</v>
      </c>
      <c r="Q1011" s="309">
        <v>4036584</v>
      </c>
      <c r="R1011" s="368">
        <f t="shared" si="79"/>
        <v>1.3487722964186365E-2</v>
      </c>
    </row>
    <row r="1012" spans="2:18" x14ac:dyDescent="0.3">
      <c r="B1012" s="54" t="s">
        <v>1631</v>
      </c>
      <c r="C1012" s="54" t="s">
        <v>24</v>
      </c>
      <c r="E1012" s="1">
        <v>1433944</v>
      </c>
      <c r="F1012" s="309">
        <v>25151</v>
      </c>
      <c r="G1012" s="309">
        <v>3606549</v>
      </c>
      <c r="H1012" s="368">
        <f t="shared" si="77"/>
        <v>3.1818434840738367E-3</v>
      </c>
      <c r="J1012" s="1">
        <v>1086006</v>
      </c>
      <c r="K1012" s="309">
        <v>22052</v>
      </c>
      <c r="L1012" s="309">
        <v>2394907</v>
      </c>
      <c r="M1012" s="368">
        <f t="shared" si="78"/>
        <v>2.1369164641277484E-3</v>
      </c>
      <c r="O1012" s="1">
        <v>841693</v>
      </c>
      <c r="P1012" s="309">
        <v>23814</v>
      </c>
      <c r="Q1012" s="309">
        <v>2004389</v>
      </c>
      <c r="R1012" s="368">
        <f t="shared" si="79"/>
        <v>1.7495534911000077E-3</v>
      </c>
    </row>
    <row r="1013" spans="2:18" x14ac:dyDescent="0.3">
      <c r="B1013" s="54" t="s">
        <v>1631</v>
      </c>
      <c r="C1013" s="54" t="s">
        <v>25</v>
      </c>
      <c r="E1013" s="1">
        <v>1004</v>
      </c>
      <c r="F1013" s="309">
        <v>316235</v>
      </c>
      <c r="G1013" s="309">
        <v>31750</v>
      </c>
      <c r="H1013" s="368">
        <f t="shared" si="77"/>
        <v>8.592380363153073E-5</v>
      </c>
      <c r="J1013" s="1">
        <v>1809</v>
      </c>
      <c r="K1013" s="309">
        <v>74881</v>
      </c>
      <c r="L1013" s="309">
        <v>13546</v>
      </c>
      <c r="M1013" s="368">
        <f t="shared" si="78"/>
        <v>3.7144681071973228E-5</v>
      </c>
      <c r="O1013" s="1">
        <v>2016</v>
      </c>
      <c r="P1013" s="309">
        <v>192391</v>
      </c>
      <c r="Q1013" s="309">
        <v>38786</v>
      </c>
      <c r="R1013" s="368">
        <f t="shared" si="79"/>
        <v>1.0487895826839859E-4</v>
      </c>
    </row>
    <row r="1014" spans="2:18" x14ac:dyDescent="0.3">
      <c r="B1014" s="54" t="s">
        <v>1631</v>
      </c>
      <c r="C1014" s="54" t="s">
        <v>1468</v>
      </c>
      <c r="E1014" s="1">
        <v>29575</v>
      </c>
      <c r="F1014" s="309">
        <v>12992</v>
      </c>
      <c r="G1014" s="309">
        <v>38423</v>
      </c>
      <c r="H1014" s="368">
        <f t="shared" si="77"/>
        <v>5.4198749000395389E-5</v>
      </c>
      <c r="J1014" s="1">
        <v>30297</v>
      </c>
      <c r="K1014" s="309">
        <v>14214</v>
      </c>
      <c r="L1014" s="309">
        <v>43063</v>
      </c>
      <c r="M1014" s="368">
        <f t="shared" si="78"/>
        <v>5.991390359670511E-5</v>
      </c>
      <c r="O1014" s="1">
        <v>24576</v>
      </c>
      <c r="P1014" s="309">
        <v>12038</v>
      </c>
      <c r="Q1014" s="309">
        <v>29584</v>
      </c>
      <c r="R1014" s="368">
        <f t="shared" si="79"/>
        <v>4.1550903075394921E-5</v>
      </c>
    </row>
    <row r="1015" spans="2:18" x14ac:dyDescent="0.3">
      <c r="B1015" s="54" t="s">
        <v>1631</v>
      </c>
      <c r="C1015" s="54" t="s">
        <v>27</v>
      </c>
      <c r="E1015" s="1">
        <v>225359</v>
      </c>
      <c r="F1015" s="309">
        <v>15594</v>
      </c>
      <c r="G1015" s="309">
        <v>351416</v>
      </c>
      <c r="H1015" s="368">
        <f t="shared" si="77"/>
        <v>9.7875845764148692E-4</v>
      </c>
      <c r="J1015" s="1">
        <v>191930</v>
      </c>
      <c r="K1015" s="309">
        <v>15772</v>
      </c>
      <c r="L1015" s="309">
        <v>302720</v>
      </c>
      <c r="M1015" s="368">
        <f t="shared" si="78"/>
        <v>8.7951819021978971E-4</v>
      </c>
      <c r="O1015" s="1">
        <v>196287</v>
      </c>
      <c r="P1015" s="309">
        <v>14336</v>
      </c>
      <c r="Q1015" s="309">
        <v>281389</v>
      </c>
      <c r="R1015" s="368">
        <f t="shared" si="79"/>
        <v>8.4431652339039332E-4</v>
      </c>
    </row>
    <row r="1016" spans="2:18" x14ac:dyDescent="0.3">
      <c r="B1016" s="54" t="s">
        <v>1631</v>
      </c>
      <c r="C1016" s="54" t="s">
        <v>1470</v>
      </c>
      <c r="E1016" s="1">
        <v>44734</v>
      </c>
      <c r="F1016" s="309">
        <v>1034567</v>
      </c>
      <c r="G1016" s="309">
        <v>4628032</v>
      </c>
      <c r="H1016" s="368">
        <f t="shared" si="77"/>
        <v>2.557805045101487E-3</v>
      </c>
      <c r="J1016" s="1">
        <v>44782</v>
      </c>
      <c r="K1016" s="309">
        <v>1033898</v>
      </c>
      <c r="L1016" s="309">
        <v>4630000</v>
      </c>
      <c r="M1016" s="368">
        <f t="shared" si="78"/>
        <v>2.4312772915897384E-3</v>
      </c>
      <c r="O1016" s="1">
        <v>48336</v>
      </c>
      <c r="P1016" s="309">
        <v>1033247</v>
      </c>
      <c r="Q1016" s="309">
        <v>4994302</v>
      </c>
      <c r="R1016" s="368">
        <f t="shared" si="79"/>
        <v>2.5937903231389465E-3</v>
      </c>
    </row>
    <row r="1017" spans="2:18" x14ac:dyDescent="0.3">
      <c r="B1017" s="54" t="s">
        <v>1631</v>
      </c>
      <c r="C1017" s="54" t="s">
        <v>26</v>
      </c>
      <c r="E1017" s="1">
        <v>26741</v>
      </c>
      <c r="F1017" s="309">
        <v>72440</v>
      </c>
      <c r="G1017" s="309">
        <v>193713</v>
      </c>
      <c r="H1017" s="368">
        <f t="shared" si="77"/>
        <v>2.5093403569836377E-4</v>
      </c>
      <c r="J1017" s="1">
        <v>21675</v>
      </c>
      <c r="K1017" s="309">
        <v>52809</v>
      </c>
      <c r="L1017" s="309">
        <v>114463</v>
      </c>
      <c r="M1017" s="368">
        <f t="shared" si="78"/>
        <v>1.5612824028263169E-4</v>
      </c>
      <c r="O1017" s="1">
        <v>22706</v>
      </c>
      <c r="P1017" s="309">
        <v>66877</v>
      </c>
      <c r="Q1017" s="309">
        <v>151850</v>
      </c>
      <c r="R1017" s="368">
        <f t="shared" si="79"/>
        <v>1.9838328971864407E-4</v>
      </c>
    </row>
    <row r="1018" spans="2:18" x14ac:dyDescent="0.3">
      <c r="B1018" s="54" t="s">
        <v>1632</v>
      </c>
      <c r="C1018" s="54" t="s">
        <v>28</v>
      </c>
      <c r="E1018" s="1">
        <v>51940</v>
      </c>
      <c r="F1018" s="309">
        <v>47362</v>
      </c>
      <c r="G1018" s="309">
        <v>246000</v>
      </c>
      <c r="H1018" s="368">
        <f t="shared" si="77"/>
        <v>8.6995833769520773E-4</v>
      </c>
      <c r="J1018" s="1">
        <v>52492</v>
      </c>
      <c r="K1018" s="309">
        <v>47626</v>
      </c>
      <c r="L1018" s="309">
        <v>250000</v>
      </c>
      <c r="M1018" s="368">
        <f t="shared" si="78"/>
        <v>8.5999301651270871E-4</v>
      </c>
      <c r="O1018" s="1">
        <v>52988</v>
      </c>
      <c r="P1018" s="309">
        <v>47904</v>
      </c>
      <c r="Q1018" s="309">
        <v>253835</v>
      </c>
      <c r="R1018" s="368">
        <f t="shared" si="79"/>
        <v>8.4815679758286854E-4</v>
      </c>
    </row>
    <row r="1019" spans="2:18" x14ac:dyDescent="0.3">
      <c r="B1019" s="54" t="s">
        <v>1632</v>
      </c>
      <c r="C1019" s="54" t="s">
        <v>24</v>
      </c>
      <c r="E1019" s="1">
        <v>1099945</v>
      </c>
      <c r="F1019" s="309">
        <v>13933</v>
      </c>
      <c r="G1019" s="309">
        <v>1532572</v>
      </c>
      <c r="H1019" s="368">
        <f t="shared" si="77"/>
        <v>1.3520970412641028E-3</v>
      </c>
      <c r="J1019" s="1">
        <v>1155075</v>
      </c>
      <c r="K1019" s="309">
        <v>13506</v>
      </c>
      <c r="L1019" s="309">
        <v>1560100</v>
      </c>
      <c r="M1019" s="368">
        <f t="shared" si="78"/>
        <v>1.3920387621255022E-3</v>
      </c>
      <c r="O1019" s="1">
        <v>875909</v>
      </c>
      <c r="P1019" s="309">
        <v>8871</v>
      </c>
      <c r="Q1019" s="309">
        <v>777000</v>
      </c>
      <c r="R1019" s="368">
        <f t="shared" si="79"/>
        <v>6.7821319244154002E-4</v>
      </c>
    </row>
    <row r="1020" spans="2:18" x14ac:dyDescent="0.3">
      <c r="B1020" s="54" t="s">
        <v>1632</v>
      </c>
      <c r="C1020" s="54" t="s">
        <v>25</v>
      </c>
      <c r="E1020" s="1">
        <v>3016</v>
      </c>
      <c r="F1020" s="309">
        <v>47782</v>
      </c>
      <c r="G1020" s="309">
        <v>14411</v>
      </c>
      <c r="H1020" s="368">
        <f t="shared" si="77"/>
        <v>3.8999934933353992E-5</v>
      </c>
      <c r="J1020" s="1">
        <v>3268</v>
      </c>
      <c r="K1020" s="309">
        <v>41551</v>
      </c>
      <c r="L1020" s="309">
        <v>13579</v>
      </c>
      <c r="M1020" s="368">
        <f t="shared" si="78"/>
        <v>3.7235170845734863E-5</v>
      </c>
      <c r="O1020" s="1">
        <v>3645</v>
      </c>
      <c r="P1020" s="309">
        <v>35336</v>
      </c>
      <c r="Q1020" s="309">
        <v>12880</v>
      </c>
      <c r="R1020" s="368">
        <f t="shared" si="79"/>
        <v>3.4828056063965705E-5</v>
      </c>
    </row>
    <row r="1021" spans="2:18" x14ac:dyDescent="0.3">
      <c r="B1021" s="54" t="s">
        <v>1632</v>
      </c>
      <c r="C1021" s="54" t="s">
        <v>1468</v>
      </c>
      <c r="E1021" s="1">
        <v>13281</v>
      </c>
      <c r="F1021" s="309">
        <v>1079</v>
      </c>
      <c r="G1021" s="309">
        <v>1433</v>
      </c>
      <c r="H1021" s="368">
        <f t="shared" si="77"/>
        <v>2.0213623953768991E-6</v>
      </c>
      <c r="J1021" s="1">
        <v>23641</v>
      </c>
      <c r="K1021" s="309">
        <v>634</v>
      </c>
      <c r="L1021" s="309">
        <v>1500</v>
      </c>
      <c r="M1021" s="368">
        <f t="shared" si="78"/>
        <v>2.0869622505412457E-6</v>
      </c>
      <c r="O1021" s="1">
        <v>26060</v>
      </c>
      <c r="P1021" s="309">
        <v>599</v>
      </c>
      <c r="Q1021" s="309">
        <v>1560</v>
      </c>
      <c r="R1021" s="368">
        <f t="shared" si="79"/>
        <v>2.1910292319367254E-6</v>
      </c>
    </row>
    <row r="1022" spans="2:18" x14ac:dyDescent="0.3">
      <c r="B1022" s="54" t="s">
        <v>1632</v>
      </c>
      <c r="C1022" s="54" t="s">
        <v>27</v>
      </c>
      <c r="E1022" s="1">
        <v>23515</v>
      </c>
      <c r="F1022" s="309">
        <v>15513</v>
      </c>
      <c r="G1022" s="309">
        <v>36478</v>
      </c>
      <c r="H1022" s="368">
        <f t="shared" si="77"/>
        <v>1.0159796656340678E-4</v>
      </c>
      <c r="J1022" s="1">
        <v>37307</v>
      </c>
      <c r="K1022" s="309">
        <v>18680</v>
      </c>
      <c r="L1022" s="309">
        <v>69688</v>
      </c>
      <c r="M1022" s="368">
        <f t="shared" si="78"/>
        <v>2.0247047978341935E-4</v>
      </c>
      <c r="O1022" s="1">
        <v>30000</v>
      </c>
      <c r="P1022" s="309">
        <v>13333</v>
      </c>
      <c r="Q1022" s="309">
        <v>40000</v>
      </c>
      <c r="R1022" s="368">
        <f t="shared" si="79"/>
        <v>1.2002125504414079E-4</v>
      </c>
    </row>
    <row r="1023" spans="2:18" x14ac:dyDescent="0.3">
      <c r="B1023" s="54" t="s">
        <v>1632</v>
      </c>
      <c r="C1023" s="54" t="s">
        <v>1470</v>
      </c>
      <c r="E1023" s="1">
        <v>41000</v>
      </c>
      <c r="F1023" s="309">
        <v>756341</v>
      </c>
      <c r="G1023" s="309">
        <v>3101000</v>
      </c>
      <c r="H1023" s="368">
        <f t="shared" si="77"/>
        <v>1.7138501732182733E-3</v>
      </c>
      <c r="J1023" s="1">
        <v>45000</v>
      </c>
      <c r="K1023" s="309">
        <v>796221</v>
      </c>
      <c r="L1023" s="309">
        <v>3582994</v>
      </c>
      <c r="M1023" s="368">
        <f t="shared" si="78"/>
        <v>1.8814799023979011E-3</v>
      </c>
      <c r="O1023" s="1">
        <v>46000</v>
      </c>
      <c r="P1023" s="309">
        <v>774348</v>
      </c>
      <c r="Q1023" s="309">
        <v>3562000</v>
      </c>
      <c r="R1023" s="368">
        <f t="shared" si="79"/>
        <v>1.8499244000504829E-3</v>
      </c>
    </row>
    <row r="1024" spans="2:18" x14ac:dyDescent="0.3">
      <c r="B1024" s="54" t="s">
        <v>1632</v>
      </c>
      <c r="C1024" s="54" t="s">
        <v>26</v>
      </c>
      <c r="E1024" s="2">
        <v>22070</v>
      </c>
      <c r="F1024" s="387">
        <v>17542</v>
      </c>
      <c r="G1024" s="387">
        <v>38715</v>
      </c>
      <c r="H1024" s="388">
        <f t="shared" si="77"/>
        <v>5.0151054353926451E-5</v>
      </c>
      <c r="J1024" s="2">
        <v>27474</v>
      </c>
      <c r="K1024" s="387">
        <v>16379</v>
      </c>
      <c r="L1024" s="387">
        <v>45000</v>
      </c>
      <c r="M1024" s="388">
        <f t="shared" si="78"/>
        <v>6.1380278454333944E-5</v>
      </c>
      <c r="O1024" s="2">
        <v>50342</v>
      </c>
      <c r="P1024" s="387">
        <v>15891</v>
      </c>
      <c r="Q1024" s="387">
        <v>80000</v>
      </c>
      <c r="R1024" s="388">
        <f t="shared" si="79"/>
        <v>1.0451539794199226E-4</v>
      </c>
    </row>
  </sheetData>
  <sortState ref="A3:M12769">
    <sortCondition descending="1" ref="I3:I12769"/>
  </sortState>
  <mergeCells count="19">
    <mergeCell ref="E1:H1"/>
    <mergeCell ref="J1:M1"/>
    <mergeCell ref="O1:R1"/>
    <mergeCell ref="AQ3:AR3"/>
    <mergeCell ref="AO3:AP3"/>
    <mergeCell ref="W3:AA3"/>
    <mergeCell ref="AD3:AH3"/>
    <mergeCell ref="AJ3:AL3"/>
    <mergeCell ref="AO2:AR2"/>
    <mergeCell ref="AK38:AO38"/>
    <mergeCell ref="AC19:AI20"/>
    <mergeCell ref="AJ19:AP20"/>
    <mergeCell ref="U21:U33"/>
    <mergeCell ref="W22:AA22"/>
    <mergeCell ref="AD22:AH22"/>
    <mergeCell ref="AK22:AO22"/>
    <mergeCell ref="U36:U50"/>
    <mergeCell ref="W38:AA38"/>
    <mergeCell ref="AD38:AH38"/>
  </mergeCells>
  <hyperlinks>
    <hyperlink ref="P66" r:id="rId1" location="data/FBS" display="http://www.fao.org/faostat/en/ - data/FBS"/>
    <hyperlink ref="P64" r:id="rId2" display="http://www.fao.org/3/x9892e/x9892e00.pdf"/>
    <hyperlink ref="P69" r:id="rId3" location="P8217_125315" display="http://www.fao.org/3/X9892E/X9892e05.htm - P8217_125315"/>
    <hyperlink ref="U65" r:id="rId4" location="data/FBS" display="http://www.fao.org/faostat/en/ - data/FBS"/>
    <hyperlink ref="U63" r:id="rId5"/>
    <hyperlink ref="U68" r:id="rId6" location="P8217_125315" display="http://www.fao.org/3/X9892E/X9892e05.htm - P8217_125315"/>
  </hyperlinks>
  <pageMargins left="0.7" right="0.7" top="0.75" bottom="0.75" header="0.3" footer="0.3"/>
  <pageSetup paperSize="9" orientation="portrait" verticalDpi="0"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B1:T26"/>
  <sheetViews>
    <sheetView workbookViewId="0"/>
  </sheetViews>
  <sheetFormatPr defaultColWidth="14.44140625" defaultRowHeight="15.75" customHeight="1" x14ac:dyDescent="0.3"/>
  <cols>
    <col min="1" max="1" width="4.5546875" style="496" customWidth="1"/>
    <col min="2" max="2" width="14.44140625" style="496"/>
    <col min="3" max="3" width="9.109375" style="496" customWidth="1"/>
    <col min="4" max="5" width="10.109375" style="496" customWidth="1"/>
    <col min="6" max="6" width="8.88671875" style="496" customWidth="1"/>
    <col min="7" max="7" width="10.88671875" style="496" customWidth="1"/>
    <col min="8" max="8" width="15.33203125" style="496" customWidth="1"/>
    <col min="9" max="9" width="12.5546875" style="496" customWidth="1"/>
    <col min="10" max="10" width="6.88671875" style="496" customWidth="1"/>
    <col min="11" max="11" width="4" style="496" customWidth="1"/>
    <col min="12" max="12" width="9" style="496" customWidth="1"/>
    <col min="13" max="13" width="8.109375" style="496" customWidth="1"/>
    <col min="14" max="14" width="3.88671875" style="496" customWidth="1"/>
    <col min="15" max="15" width="16.109375" style="496" customWidth="1"/>
    <col min="16" max="16" width="15" style="496" customWidth="1"/>
    <col min="17" max="17" width="5.109375" style="496" customWidth="1"/>
    <col min="18" max="18" width="13.6640625" style="496" customWidth="1"/>
    <col min="19" max="19" width="8.88671875" style="496" customWidth="1"/>
    <col min="20" max="16384" width="14.44140625" style="496"/>
  </cols>
  <sheetData>
    <row r="1" spans="2:20" ht="14.4" x14ac:dyDescent="0.3">
      <c r="O1" s="656" t="s">
        <v>1987</v>
      </c>
      <c r="P1" s="657"/>
    </row>
    <row r="2" spans="2:20" ht="24.75" customHeight="1" x14ac:dyDescent="0.3">
      <c r="O2" s="658"/>
      <c r="P2" s="659"/>
      <c r="Q2" s="497" t="s">
        <v>42</v>
      </c>
      <c r="R2" s="660" t="s">
        <v>1986</v>
      </c>
    </row>
    <row r="3" spans="2:20" ht="14.4" x14ac:dyDescent="0.3">
      <c r="D3" s="662" t="s">
        <v>1947</v>
      </c>
      <c r="E3" s="663"/>
      <c r="F3" s="662" t="s">
        <v>1948</v>
      </c>
      <c r="G3" s="663"/>
      <c r="I3" s="662" t="s">
        <v>1947</v>
      </c>
      <c r="J3" s="663"/>
      <c r="L3" s="662" t="s">
        <v>1948</v>
      </c>
      <c r="M3" s="663"/>
      <c r="O3" s="498" t="s">
        <v>1947</v>
      </c>
      <c r="P3" s="498" t="s">
        <v>1948</v>
      </c>
      <c r="R3" s="661"/>
    </row>
    <row r="4" spans="2:20" ht="57.6" x14ac:dyDescent="0.3">
      <c r="B4" s="499" t="s">
        <v>1635</v>
      </c>
      <c r="C4" s="500" t="s">
        <v>29</v>
      </c>
      <c r="D4" s="500" t="s">
        <v>1949</v>
      </c>
      <c r="E4" s="500" t="s">
        <v>1950</v>
      </c>
      <c r="F4" s="500" t="s">
        <v>1951</v>
      </c>
      <c r="G4" s="500" t="s">
        <v>1952</v>
      </c>
      <c r="H4" s="500" t="s">
        <v>1953</v>
      </c>
      <c r="I4" s="500" t="s">
        <v>1992</v>
      </c>
      <c r="J4" s="500" t="s">
        <v>1954</v>
      </c>
      <c r="K4" s="500"/>
      <c r="L4" s="500" t="s">
        <v>1989</v>
      </c>
      <c r="M4" s="501" t="s">
        <v>1955</v>
      </c>
      <c r="N4" s="501"/>
      <c r="O4" s="502" t="s">
        <v>1990</v>
      </c>
      <c r="P4" s="503" t="s">
        <v>1991</v>
      </c>
      <c r="Q4" s="504"/>
      <c r="R4" s="505" t="s">
        <v>1956</v>
      </c>
    </row>
    <row r="5" spans="2:20" ht="14.4" x14ac:dyDescent="0.3">
      <c r="B5" s="506" t="s">
        <v>24</v>
      </c>
      <c r="C5" s="507" t="s">
        <v>522</v>
      </c>
      <c r="D5" s="507">
        <v>981</v>
      </c>
      <c r="E5" s="508">
        <f t="shared" ref="E5:E8" si="0">D5*3.56</f>
        <v>3492.36</v>
      </c>
      <c r="F5" s="508">
        <f t="shared" ref="F5:F8" si="1">D5*9.5%</f>
        <v>93.195000000000007</v>
      </c>
      <c r="G5" s="508">
        <f t="shared" ref="G5:G11" si="2">F5*16.7/4.184</f>
        <v>371.97813097514342</v>
      </c>
      <c r="H5" s="507">
        <v>1579</v>
      </c>
      <c r="I5" s="509">
        <f t="shared" ref="I5:I11" si="3">E5*4.184/3600/H5</f>
        <v>2.5705499683343889E-3</v>
      </c>
      <c r="J5" s="509">
        <v>2.9999999999999997E-4</v>
      </c>
      <c r="K5" s="509"/>
      <c r="L5" s="510">
        <f t="shared" ref="L5:L11" si="4">G5/860.42/H5</f>
        <v>2.7379453872258965E-4</v>
      </c>
      <c r="M5" s="511">
        <v>3.0000000000000001E-5</v>
      </c>
      <c r="N5" s="512"/>
      <c r="O5" s="513">
        <f t="shared" ref="O5:O11" si="5">0.809%*$R5</f>
        <v>8.2568077099999995E-3</v>
      </c>
      <c r="P5" s="514">
        <f t="shared" ref="P5:P11" si="6">0.42%*$R5</f>
        <v>4.2865997999999997E-3</v>
      </c>
      <c r="R5" s="515">
        <f t="shared" ref="R5:R11" si="7">-3.52*10^-4*H5+1.576427</f>
        <v>1.0206189999999999</v>
      </c>
      <c r="T5" s="516"/>
    </row>
    <row r="6" spans="2:20" ht="14.4" x14ac:dyDescent="0.3">
      <c r="B6" s="517" t="s">
        <v>24</v>
      </c>
      <c r="C6" s="518" t="s">
        <v>1496</v>
      </c>
      <c r="D6" s="518">
        <v>662</v>
      </c>
      <c r="E6" s="519">
        <f t="shared" si="0"/>
        <v>2356.7200000000003</v>
      </c>
      <c r="F6" s="519">
        <f t="shared" si="1"/>
        <v>62.89</v>
      </c>
      <c r="G6" s="519">
        <f t="shared" si="2"/>
        <v>251.01888145315485</v>
      </c>
      <c r="H6" s="518">
        <v>1406</v>
      </c>
      <c r="I6" s="520">
        <f t="shared" si="3"/>
        <v>1.9481026710921451E-3</v>
      </c>
      <c r="J6" s="520">
        <v>4.4000000000000002E-4</v>
      </c>
      <c r="K6" s="520"/>
      <c r="L6" s="521">
        <f t="shared" si="4"/>
        <v>2.0749640302130632E-4</v>
      </c>
      <c r="M6" s="522">
        <v>5.0000000000000002E-5</v>
      </c>
      <c r="O6" s="523">
        <f t="shared" si="5"/>
        <v>8.7494563500000004E-3</v>
      </c>
      <c r="P6" s="524">
        <f t="shared" si="6"/>
        <v>4.5423629999999998E-3</v>
      </c>
      <c r="R6" s="525">
        <f t="shared" si="7"/>
        <v>1.081515</v>
      </c>
    </row>
    <row r="7" spans="2:20" ht="14.4" x14ac:dyDescent="0.3">
      <c r="B7" s="517" t="s">
        <v>24</v>
      </c>
      <c r="C7" s="518" t="s">
        <v>9</v>
      </c>
      <c r="D7" s="518">
        <v>236</v>
      </c>
      <c r="E7" s="519">
        <f t="shared" si="0"/>
        <v>840.16</v>
      </c>
      <c r="F7" s="519">
        <f t="shared" si="1"/>
        <v>22.42</v>
      </c>
      <c r="G7" s="519">
        <f t="shared" si="2"/>
        <v>89.487093690248557</v>
      </c>
      <c r="H7" s="518">
        <v>2491</v>
      </c>
      <c r="I7" s="520">
        <f t="shared" si="3"/>
        <v>3.9199222088407158E-4</v>
      </c>
      <c r="J7" s="520">
        <v>1E-4</v>
      </c>
      <c r="K7" s="520"/>
      <c r="L7" s="521">
        <f t="shared" si="4"/>
        <v>4.1751893805565762E-5</v>
      </c>
      <c r="M7" s="522">
        <v>1.0000000000000001E-5</v>
      </c>
      <c r="O7" s="523">
        <f t="shared" si="5"/>
        <v>5.6597235499999989E-3</v>
      </c>
      <c r="P7" s="524">
        <f t="shared" si="6"/>
        <v>2.9382989999999993E-3</v>
      </c>
      <c r="R7" s="525">
        <f t="shared" si="7"/>
        <v>0.69959499999999986</v>
      </c>
      <c r="T7" s="497"/>
    </row>
    <row r="8" spans="2:20" ht="14.4" x14ac:dyDescent="0.3">
      <c r="B8" s="517" t="s">
        <v>1957</v>
      </c>
      <c r="C8" s="518" t="s">
        <v>522</v>
      </c>
      <c r="D8" s="518">
        <v>1244</v>
      </c>
      <c r="E8" s="519">
        <f t="shared" si="0"/>
        <v>4428.6400000000003</v>
      </c>
      <c r="F8" s="519">
        <f t="shared" si="1"/>
        <v>118.18</v>
      </c>
      <c r="G8" s="519">
        <f t="shared" si="2"/>
        <v>471.70315487571702</v>
      </c>
      <c r="H8" s="518">
        <v>1703</v>
      </c>
      <c r="I8" s="520">
        <f t="shared" si="3"/>
        <v>3.0223510406472242E-3</v>
      </c>
      <c r="J8" s="520">
        <v>2.0000000000000001E-4</v>
      </c>
      <c r="K8" s="520"/>
      <c r="L8" s="521">
        <f t="shared" si="4"/>
        <v>3.21916795715095E-4</v>
      </c>
      <c r="M8" s="522">
        <v>2.0000000000000002E-5</v>
      </c>
      <c r="O8" s="523">
        <f t="shared" si="5"/>
        <v>7.9036953899999998E-3</v>
      </c>
      <c r="P8" s="524">
        <f t="shared" si="6"/>
        <v>4.1032781999999993E-3</v>
      </c>
      <c r="R8" s="525">
        <f t="shared" si="7"/>
        <v>0.97697099999999992</v>
      </c>
    </row>
    <row r="9" spans="2:20" ht="14.4" x14ac:dyDescent="0.3">
      <c r="B9" s="517" t="s">
        <v>1958</v>
      </c>
      <c r="C9" s="518" t="s">
        <v>522</v>
      </c>
      <c r="D9" s="518">
        <v>1046</v>
      </c>
      <c r="E9" s="519">
        <f>D9*18.9/4.184</f>
        <v>4724.9999999999991</v>
      </c>
      <c r="F9" s="519">
        <v>73</v>
      </c>
      <c r="G9" s="519">
        <f t="shared" si="2"/>
        <v>291.37189292543019</v>
      </c>
      <c r="H9" s="518">
        <v>1443</v>
      </c>
      <c r="I9" s="520">
        <f t="shared" si="3"/>
        <v>3.8056133056133053E-3</v>
      </c>
      <c r="J9" s="520">
        <v>2.9999999999999997E-4</v>
      </c>
      <c r="K9" s="520"/>
      <c r="L9" s="521">
        <f t="shared" si="4"/>
        <v>2.3467716198861816E-4</v>
      </c>
      <c r="M9" s="522">
        <v>3.0000000000000001E-5</v>
      </c>
      <c r="O9" s="523">
        <f t="shared" si="5"/>
        <v>8.6440921899999992E-3</v>
      </c>
      <c r="P9" s="524">
        <f t="shared" si="6"/>
        <v>4.4876621999999991E-3</v>
      </c>
      <c r="R9" s="525">
        <f t="shared" si="7"/>
        <v>1.0684909999999999</v>
      </c>
      <c r="T9" s="497"/>
    </row>
    <row r="10" spans="2:20" ht="14.4" x14ac:dyDescent="0.3">
      <c r="B10" s="517" t="s">
        <v>1469</v>
      </c>
      <c r="C10" s="518" t="s">
        <v>522</v>
      </c>
      <c r="D10" s="518">
        <v>7586</v>
      </c>
      <c r="E10" s="519">
        <f>D10*0.7</f>
        <v>5310.2</v>
      </c>
      <c r="F10" s="519">
        <f>D10*1.3%</f>
        <v>98.618000000000009</v>
      </c>
      <c r="G10" s="519">
        <f t="shared" si="2"/>
        <v>393.62347036328873</v>
      </c>
      <c r="H10" s="518">
        <v>1500</v>
      </c>
      <c r="I10" s="520">
        <f t="shared" si="3"/>
        <v>4.1144216296296297E-3</v>
      </c>
      <c r="J10" s="520">
        <v>2.9999999999999997E-4</v>
      </c>
      <c r="K10" s="520"/>
      <c r="L10" s="521">
        <f t="shared" si="4"/>
        <v>3.0498552672980541E-4</v>
      </c>
      <c r="M10" s="522">
        <v>3.0000000000000001E-5</v>
      </c>
      <c r="O10" s="523">
        <f t="shared" si="5"/>
        <v>8.4817744300000001E-3</v>
      </c>
      <c r="P10" s="524">
        <f t="shared" si="6"/>
        <v>4.4033933999999995E-3</v>
      </c>
      <c r="R10" s="525">
        <f t="shared" si="7"/>
        <v>1.048427</v>
      </c>
      <c r="T10" s="497"/>
    </row>
    <row r="11" spans="2:20" ht="14.4" x14ac:dyDescent="0.3">
      <c r="B11" s="526" t="s">
        <v>1959</v>
      </c>
      <c r="C11" s="527" t="s">
        <v>522</v>
      </c>
      <c r="D11" s="527">
        <v>316</v>
      </c>
      <c r="E11" s="528">
        <f>D11*3.35</f>
        <v>1058.6000000000001</v>
      </c>
      <c r="F11" s="528">
        <f>D11*38%</f>
        <v>120.08</v>
      </c>
      <c r="G11" s="528">
        <f t="shared" si="2"/>
        <v>479.28680688336516</v>
      </c>
      <c r="H11" s="527">
        <v>1577</v>
      </c>
      <c r="I11" s="529">
        <f t="shared" si="3"/>
        <v>7.8017022475868395E-4</v>
      </c>
      <c r="J11" s="530">
        <v>1E-4</v>
      </c>
      <c r="K11" s="527"/>
      <c r="L11" s="531">
        <f t="shared" si="4"/>
        <v>3.5322650516872759E-4</v>
      </c>
      <c r="M11" s="532">
        <v>5.0000000000000002E-5</v>
      </c>
      <c r="N11" s="533"/>
      <c r="O11" s="534">
        <f t="shared" si="5"/>
        <v>8.2625030699999998E-3</v>
      </c>
      <c r="P11" s="535">
        <f t="shared" si="6"/>
        <v>4.2895565999999993E-3</v>
      </c>
      <c r="R11" s="536">
        <f t="shared" si="7"/>
        <v>1.021323</v>
      </c>
    </row>
    <row r="13" spans="2:20" ht="14.4" x14ac:dyDescent="0.3">
      <c r="D13" s="537"/>
      <c r="E13" s="537"/>
    </row>
    <row r="15" spans="2:20" ht="15.75" customHeight="1" x14ac:dyDescent="0.3">
      <c r="B15" s="496" t="s">
        <v>1978</v>
      </c>
    </row>
    <row r="17" spans="2:19" ht="15.75" customHeight="1" x14ac:dyDescent="0.3">
      <c r="B17" s="496" t="s">
        <v>1988</v>
      </c>
    </row>
    <row r="22" spans="2:19" ht="14.4" x14ac:dyDescent="0.3">
      <c r="I22" s="497"/>
      <c r="M22" s="497"/>
    </row>
    <row r="23" spans="2:19" ht="14.4" x14ac:dyDescent="0.3">
      <c r="I23" s="538"/>
      <c r="M23" s="538"/>
      <c r="S23" s="538"/>
    </row>
    <row r="24" spans="2:19" ht="14.4" x14ac:dyDescent="0.3">
      <c r="I24" s="111"/>
      <c r="M24" s="111"/>
      <c r="S24" s="111"/>
    </row>
    <row r="25" spans="2:19" ht="14.4" x14ac:dyDescent="0.3">
      <c r="I25" s="75"/>
      <c r="M25" s="75"/>
      <c r="S25" s="75"/>
    </row>
    <row r="26" spans="2:19" ht="14.4" x14ac:dyDescent="0.3">
      <c r="I26" s="497"/>
      <c r="M26" s="497"/>
    </row>
  </sheetData>
  <mergeCells count="6">
    <mergeCell ref="O1:P2"/>
    <mergeCell ref="R2:R3"/>
    <mergeCell ref="D3:E3"/>
    <mergeCell ref="F3:G3"/>
    <mergeCell ref="I3:J3"/>
    <mergeCell ref="L3:M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P90"/>
  <sheetViews>
    <sheetView zoomScale="70" zoomScaleNormal="70" workbookViewId="0"/>
  </sheetViews>
  <sheetFormatPr defaultColWidth="9.109375" defaultRowHeight="14.4" x14ac:dyDescent="0.3"/>
  <cols>
    <col min="1" max="1" width="8" style="438" customWidth="1"/>
    <col min="2" max="2" width="14.6640625" style="418" customWidth="1"/>
    <col min="3" max="3" width="22.109375" style="418" customWidth="1"/>
    <col min="4" max="4" width="24.88671875" style="418" customWidth="1"/>
    <col min="5" max="5" width="12.109375" style="418" customWidth="1"/>
    <col min="6" max="6" width="11.44140625" style="418" customWidth="1"/>
    <col min="7" max="7" width="27.33203125" style="418" customWidth="1"/>
    <col min="8" max="8" width="41.33203125" style="418" customWidth="1"/>
    <col min="9" max="9" width="9.109375" style="438"/>
    <col min="10" max="10" width="20.33203125" style="418" customWidth="1"/>
    <col min="11" max="11" width="25.5546875" style="418" customWidth="1"/>
    <col min="12" max="12" width="26.109375" style="418" customWidth="1"/>
    <col min="13" max="13" width="12.5546875" style="418" customWidth="1"/>
    <col min="14" max="14" width="11.109375" style="418" customWidth="1"/>
    <col min="15" max="15" width="25.5546875" style="418" customWidth="1"/>
    <col min="16" max="16" width="18.6640625" style="418" customWidth="1"/>
    <col min="17" max="17" width="9.109375" style="438"/>
    <col min="18" max="18" width="16.6640625" style="418" customWidth="1"/>
    <col min="19" max="19" width="26.109375" style="418" customWidth="1"/>
    <col min="20" max="20" width="23.5546875" style="418" customWidth="1"/>
    <col min="21" max="21" width="16.33203125" style="418" customWidth="1"/>
    <col min="22" max="22" width="13.33203125" style="418" customWidth="1"/>
    <col min="23" max="23" width="25.88671875" style="418" customWidth="1"/>
    <col min="24" max="24" width="17" style="418" customWidth="1"/>
    <col min="25" max="25" width="9.109375" style="438"/>
    <col min="26" max="26" width="15" style="418" customWidth="1"/>
    <col min="27" max="27" width="36.44140625" style="418" customWidth="1"/>
    <col min="28" max="28" width="32.6640625" style="418" bestFit="1" customWidth="1"/>
    <col min="29" max="29" width="10.33203125" style="418" bestFit="1" customWidth="1"/>
    <col min="30" max="30" width="11" style="418" bestFit="1" customWidth="1"/>
    <col min="31" max="31" width="22" style="418" bestFit="1" customWidth="1"/>
    <col min="32" max="32" width="20.6640625" style="418" customWidth="1"/>
    <col min="33" max="33" width="9.109375" style="438"/>
    <col min="34" max="34" width="12.109375" style="110" customWidth="1"/>
    <col min="35" max="35" width="18.33203125" style="110" bestFit="1" customWidth="1"/>
    <col min="36" max="36" width="28" style="110" bestFit="1" customWidth="1"/>
    <col min="37" max="37" width="9.88671875" style="110" bestFit="1" customWidth="1"/>
    <col min="38" max="38" width="11.109375" style="110" customWidth="1"/>
    <col min="39" max="39" width="21.6640625" style="110" customWidth="1"/>
    <col min="40" max="40" width="24.44140625" style="418" customWidth="1"/>
    <col min="41" max="16384" width="9.109375" style="418"/>
  </cols>
  <sheetData>
    <row r="1" spans="2:42" s="438" customFormat="1" x14ac:dyDescent="0.3">
      <c r="AH1" s="439"/>
      <c r="AI1" s="439"/>
      <c r="AJ1" s="439"/>
      <c r="AK1" s="439"/>
      <c r="AL1" s="439"/>
      <c r="AM1" s="439"/>
    </row>
    <row r="2" spans="2:42" s="438" customFormat="1" x14ac:dyDescent="0.3">
      <c r="S2" s="440"/>
      <c r="T2" s="441"/>
      <c r="U2" s="440"/>
      <c r="V2" s="441"/>
      <c r="AA2" s="440"/>
      <c r="AB2" s="441"/>
      <c r="AC2" s="440"/>
      <c r="AD2" s="441"/>
      <c r="AH2" s="439"/>
      <c r="AI2" s="439"/>
      <c r="AJ2" s="439"/>
      <c r="AK2" s="439"/>
      <c r="AL2" s="439"/>
      <c r="AM2" s="439"/>
    </row>
    <row r="3" spans="2:42" s="442" customFormat="1" ht="25.8" x14ac:dyDescent="0.3">
      <c r="B3" s="664" t="s">
        <v>1843</v>
      </c>
      <c r="C3" s="665"/>
      <c r="D3" s="665"/>
      <c r="E3" s="665"/>
      <c r="F3" s="665"/>
      <c r="G3" s="665"/>
      <c r="H3" s="666"/>
      <c r="J3" s="664" t="s">
        <v>1839</v>
      </c>
      <c r="K3" s="665"/>
      <c r="L3" s="665"/>
      <c r="M3" s="665"/>
      <c r="N3" s="665"/>
      <c r="O3" s="665"/>
      <c r="P3" s="666"/>
      <c r="R3" s="664" t="s">
        <v>1840</v>
      </c>
      <c r="S3" s="665"/>
      <c r="T3" s="665"/>
      <c r="U3" s="665"/>
      <c r="V3" s="665"/>
      <c r="W3" s="665"/>
      <c r="X3" s="666"/>
      <c r="Z3" s="664" t="s">
        <v>1841</v>
      </c>
      <c r="AA3" s="665"/>
      <c r="AB3" s="665"/>
      <c r="AC3" s="665"/>
      <c r="AD3" s="665"/>
      <c r="AE3" s="665"/>
      <c r="AF3" s="666"/>
      <c r="AH3" s="680" t="s">
        <v>1896</v>
      </c>
      <c r="AI3" s="681"/>
      <c r="AJ3" s="681"/>
      <c r="AK3" s="681"/>
      <c r="AL3" s="681"/>
      <c r="AM3" s="681"/>
      <c r="AN3" s="682"/>
    </row>
    <row r="4" spans="2:42" x14ac:dyDescent="0.3">
      <c r="B4" s="443" t="s">
        <v>1637</v>
      </c>
      <c r="C4" s="444" t="s">
        <v>1465</v>
      </c>
      <c r="D4" s="444" t="s">
        <v>1444</v>
      </c>
      <c r="E4" s="445" t="s">
        <v>1710</v>
      </c>
      <c r="F4" s="445" t="s">
        <v>1711</v>
      </c>
      <c r="G4" s="444" t="s">
        <v>1638</v>
      </c>
      <c r="H4" s="446" t="s">
        <v>1796</v>
      </c>
      <c r="J4" s="443" t="s">
        <v>1637</v>
      </c>
      <c r="K4" s="444" t="s">
        <v>1465</v>
      </c>
      <c r="L4" s="444" t="s">
        <v>1444</v>
      </c>
      <c r="M4" s="445" t="s">
        <v>1710</v>
      </c>
      <c r="N4" s="445" t="s">
        <v>1711</v>
      </c>
      <c r="O4" s="444" t="s">
        <v>1638</v>
      </c>
      <c r="P4" s="446" t="s">
        <v>1796</v>
      </c>
      <c r="R4" s="443" t="s">
        <v>1637</v>
      </c>
      <c r="S4" s="444" t="s">
        <v>1465</v>
      </c>
      <c r="T4" s="444" t="s">
        <v>1444</v>
      </c>
      <c r="U4" s="445" t="s">
        <v>1710</v>
      </c>
      <c r="V4" s="445" t="s">
        <v>1711</v>
      </c>
      <c r="W4" s="444" t="s">
        <v>1638</v>
      </c>
      <c r="X4" s="446" t="s">
        <v>1796</v>
      </c>
      <c r="Z4" s="447" t="s">
        <v>1637</v>
      </c>
      <c r="AA4" s="448" t="s">
        <v>1465</v>
      </c>
      <c r="AB4" s="448" t="s">
        <v>1444</v>
      </c>
      <c r="AC4" s="449" t="s">
        <v>1710</v>
      </c>
      <c r="AD4" s="449" t="s">
        <v>1711</v>
      </c>
      <c r="AE4" s="448" t="s">
        <v>1638</v>
      </c>
      <c r="AF4" s="450" t="s">
        <v>1796</v>
      </c>
      <c r="AH4" s="447" t="s">
        <v>1897</v>
      </c>
      <c r="AI4" s="448" t="s">
        <v>1898</v>
      </c>
      <c r="AJ4" s="448" t="s">
        <v>1465</v>
      </c>
      <c r="AK4" s="448" t="s">
        <v>1710</v>
      </c>
      <c r="AL4" s="448" t="s">
        <v>1711</v>
      </c>
      <c r="AM4" s="448" t="s">
        <v>1638</v>
      </c>
      <c r="AN4" s="450" t="s">
        <v>1796</v>
      </c>
    </row>
    <row r="5" spans="2:42" ht="119.7" customHeight="1" x14ac:dyDescent="0.3">
      <c r="B5" s="667" t="s">
        <v>1842</v>
      </c>
      <c r="C5" s="670" t="s">
        <v>1788</v>
      </c>
      <c r="D5" s="426" t="s">
        <v>1878</v>
      </c>
      <c r="E5" s="413">
        <v>50</v>
      </c>
      <c r="F5" s="413">
        <v>251</v>
      </c>
      <c r="G5" s="435" t="s">
        <v>1879</v>
      </c>
      <c r="H5" s="451" t="s">
        <v>1899</v>
      </c>
      <c r="J5" s="667" t="s">
        <v>1794</v>
      </c>
      <c r="K5" s="435" t="s">
        <v>1795</v>
      </c>
      <c r="L5" s="426" t="s">
        <v>1866</v>
      </c>
      <c r="M5" s="343">
        <v>2.5</v>
      </c>
      <c r="N5" s="343">
        <v>4</v>
      </c>
      <c r="O5" s="435" t="s">
        <v>1810</v>
      </c>
      <c r="P5" s="452" t="s">
        <v>1900</v>
      </c>
      <c r="R5" s="667" t="s">
        <v>1833</v>
      </c>
      <c r="S5" s="435" t="s">
        <v>1832</v>
      </c>
      <c r="T5" s="426" t="s">
        <v>1973</v>
      </c>
      <c r="U5" s="355">
        <f>0.758/1.23</f>
        <v>0.61626016260162608</v>
      </c>
      <c r="V5" s="355">
        <f>1.52/1.23</f>
        <v>1.2357723577235773</v>
      </c>
      <c r="W5" s="435" t="s">
        <v>1837</v>
      </c>
      <c r="X5" s="540" t="s">
        <v>1901</v>
      </c>
      <c r="Z5" s="429" t="s">
        <v>1834</v>
      </c>
      <c r="AA5" s="435" t="s">
        <v>1867</v>
      </c>
      <c r="AB5" s="542" t="s">
        <v>1974</v>
      </c>
      <c r="AC5" s="435">
        <v>0.42499999999999999</v>
      </c>
      <c r="AD5" s="435">
        <v>1.4650000000000001</v>
      </c>
      <c r="AE5" s="435" t="s">
        <v>1868</v>
      </c>
      <c r="AF5" s="452" t="s">
        <v>1902</v>
      </c>
      <c r="AH5" s="579" t="s">
        <v>1903</v>
      </c>
      <c r="AI5" s="670" t="s">
        <v>1904</v>
      </c>
      <c r="AJ5" s="435" t="s">
        <v>1905</v>
      </c>
      <c r="AK5" s="453">
        <v>0.32</v>
      </c>
      <c r="AL5" s="453">
        <v>0.21</v>
      </c>
      <c r="AM5" s="435"/>
      <c r="AN5" s="683" t="s">
        <v>1906</v>
      </c>
      <c r="AP5" s="454"/>
    </row>
    <row r="6" spans="2:42" ht="82.8" x14ac:dyDescent="0.3">
      <c r="B6" s="668"/>
      <c r="C6" s="671"/>
      <c r="D6" s="425" t="s">
        <v>1880</v>
      </c>
      <c r="E6" s="414">
        <f>E5*1.2</f>
        <v>60</v>
      </c>
      <c r="F6" s="414">
        <f>F5*1.4</f>
        <v>351.4</v>
      </c>
      <c r="G6" s="436" t="s">
        <v>1879</v>
      </c>
      <c r="H6" s="415" t="s">
        <v>1907</v>
      </c>
      <c r="J6" s="668"/>
      <c r="K6" s="436"/>
      <c r="L6" s="436"/>
      <c r="M6" s="436"/>
      <c r="N6" s="436"/>
      <c r="O6" s="436"/>
      <c r="P6" s="432"/>
      <c r="R6" s="668"/>
      <c r="S6" s="436"/>
      <c r="T6" s="436"/>
      <c r="U6" s="436"/>
      <c r="V6" s="436"/>
      <c r="W6" s="436"/>
      <c r="X6" s="432"/>
      <c r="Z6" s="430"/>
      <c r="AA6" s="436"/>
      <c r="AB6" s="436"/>
      <c r="AC6" s="356"/>
      <c r="AD6" s="356"/>
      <c r="AE6" s="425"/>
      <c r="AF6" s="455"/>
      <c r="AH6" s="580"/>
      <c r="AI6" s="671"/>
      <c r="AJ6" s="436" t="s">
        <v>1908</v>
      </c>
      <c r="AK6" s="456">
        <v>20</v>
      </c>
      <c r="AL6" s="456">
        <v>20</v>
      </c>
      <c r="AM6" s="456" t="s">
        <v>1700</v>
      </c>
      <c r="AN6" s="684"/>
    </row>
    <row r="7" spans="2:42" ht="29.25" customHeight="1" x14ac:dyDescent="0.3">
      <c r="B7" s="668"/>
      <c r="C7" s="436"/>
      <c r="D7" s="436"/>
      <c r="E7" s="436"/>
      <c r="F7" s="436"/>
      <c r="G7" s="357"/>
      <c r="H7" s="412"/>
      <c r="J7" s="668"/>
      <c r="K7" s="425" t="s">
        <v>1835</v>
      </c>
      <c r="L7" s="436"/>
      <c r="M7" s="436">
        <v>0.47</v>
      </c>
      <c r="N7" s="436">
        <v>0.43</v>
      </c>
      <c r="O7" s="436" t="s">
        <v>1811</v>
      </c>
      <c r="P7" s="437" t="s">
        <v>1909</v>
      </c>
      <c r="R7" s="668"/>
      <c r="S7" s="425" t="s">
        <v>1835</v>
      </c>
      <c r="T7" s="436"/>
      <c r="U7" s="436">
        <v>1.88</v>
      </c>
      <c r="V7" s="436">
        <v>2.15</v>
      </c>
      <c r="W7" s="436" t="s">
        <v>1836</v>
      </c>
      <c r="X7" s="437" t="s">
        <v>1909</v>
      </c>
      <c r="Z7" s="430"/>
      <c r="AA7" s="425" t="s">
        <v>1835</v>
      </c>
      <c r="AB7" s="436"/>
      <c r="AC7" s="436">
        <v>6.93</v>
      </c>
      <c r="AD7" s="436">
        <v>9.42</v>
      </c>
      <c r="AE7" s="425" t="s">
        <v>1838</v>
      </c>
      <c r="AF7" s="437" t="s">
        <v>1910</v>
      </c>
      <c r="AH7" s="580"/>
      <c r="AI7" s="671"/>
      <c r="AJ7" s="436" t="s">
        <v>1911</v>
      </c>
      <c r="AK7" s="457">
        <v>0.245</v>
      </c>
      <c r="AL7" s="457">
        <v>0.245</v>
      </c>
      <c r="AM7" s="436" t="s">
        <v>1912</v>
      </c>
      <c r="AN7" s="684"/>
    </row>
    <row r="8" spans="2:42" x14ac:dyDescent="0.3">
      <c r="B8" s="668"/>
      <c r="C8" s="342" t="s">
        <v>1789</v>
      </c>
      <c r="D8" s="425"/>
      <c r="E8" s="356">
        <v>25</v>
      </c>
      <c r="F8" s="356">
        <v>25</v>
      </c>
      <c r="G8" s="357" t="s">
        <v>1792</v>
      </c>
      <c r="H8" s="412"/>
      <c r="J8" s="668"/>
      <c r="K8" s="436"/>
      <c r="L8" s="436"/>
      <c r="M8" s="436"/>
      <c r="N8" s="436"/>
      <c r="O8" s="436"/>
      <c r="P8" s="432"/>
      <c r="R8" s="668"/>
      <c r="S8" s="436"/>
      <c r="T8" s="436"/>
      <c r="U8" s="436"/>
      <c r="V8" s="436"/>
      <c r="W8" s="436"/>
      <c r="X8" s="432"/>
      <c r="Z8" s="430"/>
      <c r="AA8" s="414"/>
      <c r="AB8" s="414"/>
      <c r="AC8" s="414"/>
      <c r="AD8" s="414"/>
      <c r="AE8" s="414"/>
      <c r="AF8" s="432"/>
      <c r="AH8" s="580"/>
      <c r="AI8" s="671"/>
      <c r="AJ8" s="436" t="s">
        <v>1921</v>
      </c>
      <c r="AK8" s="457">
        <v>45</v>
      </c>
      <c r="AL8" s="457">
        <v>45</v>
      </c>
      <c r="AM8" s="436" t="s">
        <v>1913</v>
      </c>
      <c r="AN8" s="684"/>
    </row>
    <row r="9" spans="2:42" x14ac:dyDescent="0.3">
      <c r="B9" s="668"/>
      <c r="C9" s="342"/>
      <c r="D9" s="436"/>
      <c r="E9" s="357"/>
      <c r="F9" s="357"/>
      <c r="G9" s="357"/>
      <c r="H9" s="412"/>
      <c r="J9" s="668"/>
      <c r="K9" s="350" t="s">
        <v>1683</v>
      </c>
      <c r="L9" s="350"/>
      <c r="M9" s="416">
        <f>M5*M7</f>
        <v>1.1749999999999998</v>
      </c>
      <c r="N9" s="416">
        <f>N5*N7</f>
        <v>1.72</v>
      </c>
      <c r="O9" s="350" t="s">
        <v>1881</v>
      </c>
      <c r="P9" s="432"/>
      <c r="R9" s="668"/>
      <c r="S9" s="350" t="s">
        <v>1683</v>
      </c>
      <c r="T9" s="350"/>
      <c r="U9" s="416">
        <f>U5*U7</f>
        <v>1.158569105691057</v>
      </c>
      <c r="V9" s="416">
        <f>V5*V7</f>
        <v>2.6569105691056909</v>
      </c>
      <c r="W9" s="350" t="s">
        <v>1881</v>
      </c>
      <c r="X9" s="432"/>
      <c r="Z9" s="430"/>
      <c r="AA9" s="350" t="s">
        <v>1683</v>
      </c>
      <c r="AB9" s="350"/>
      <c r="AC9" s="416">
        <f>AC5*AC7</f>
        <v>2.9452499999999997</v>
      </c>
      <c r="AD9" s="416">
        <f>AD5*AD7</f>
        <v>13.8003</v>
      </c>
      <c r="AE9" s="350" t="s">
        <v>1881</v>
      </c>
      <c r="AF9" s="432"/>
      <c r="AH9" s="580"/>
      <c r="AI9" s="671"/>
      <c r="AJ9" s="676" t="s">
        <v>1914</v>
      </c>
      <c r="AK9" s="457">
        <f>AK6/AK5</f>
        <v>62.5</v>
      </c>
      <c r="AL9" s="457">
        <f>AL6/AL5</f>
        <v>95.238095238095241</v>
      </c>
      <c r="AM9" s="456" t="s">
        <v>1700</v>
      </c>
      <c r="AN9" s="684"/>
    </row>
    <row r="10" spans="2:42" x14ac:dyDescent="0.3">
      <c r="B10" s="668"/>
      <c r="C10" s="436" t="s">
        <v>1790</v>
      </c>
      <c r="D10" s="427"/>
      <c r="E10" s="342">
        <v>25</v>
      </c>
      <c r="F10" s="358">
        <v>25</v>
      </c>
      <c r="G10" s="357" t="s">
        <v>1792</v>
      </c>
      <c r="H10" s="412"/>
      <c r="J10" s="669"/>
      <c r="K10" s="458"/>
      <c r="L10" s="354"/>
      <c r="M10" s="459"/>
      <c r="N10" s="459"/>
      <c r="O10" s="458"/>
      <c r="P10" s="417"/>
      <c r="R10" s="669"/>
      <c r="S10" s="458"/>
      <c r="T10" s="354"/>
      <c r="U10" s="459"/>
      <c r="V10" s="459"/>
      <c r="W10" s="458"/>
      <c r="X10" s="417"/>
      <c r="Z10" s="431"/>
      <c r="AA10" s="458"/>
      <c r="AB10" s="354"/>
      <c r="AC10" s="459"/>
      <c r="AD10" s="459"/>
      <c r="AE10" s="458"/>
      <c r="AF10" s="417"/>
      <c r="AH10" s="580"/>
      <c r="AI10" s="671"/>
      <c r="AJ10" s="676"/>
      <c r="AK10" s="457">
        <f>AK9/AK7</f>
        <v>255.10204081632654</v>
      </c>
      <c r="AL10" s="457">
        <f>AL9/AL7</f>
        <v>388.72691933916428</v>
      </c>
      <c r="AM10" s="456" t="s">
        <v>1915</v>
      </c>
      <c r="AN10" s="684"/>
    </row>
    <row r="11" spans="2:42" x14ac:dyDescent="0.3">
      <c r="B11" s="668"/>
      <c r="C11" s="436"/>
      <c r="D11" s="436"/>
      <c r="E11" s="436"/>
      <c r="F11" s="436"/>
      <c r="G11" s="436"/>
      <c r="H11" s="412"/>
      <c r="J11" s="434"/>
      <c r="K11" s="357"/>
      <c r="L11" s="436"/>
      <c r="M11" s="460"/>
      <c r="N11" s="460"/>
      <c r="O11" s="357"/>
      <c r="P11" s="436"/>
      <c r="S11" s="461"/>
      <c r="T11" s="461"/>
      <c r="AA11" s="461"/>
      <c r="AB11" s="461"/>
      <c r="AH11" s="580"/>
      <c r="AI11" s="671"/>
      <c r="AJ11" s="676"/>
      <c r="AK11" s="462">
        <f>(AK8*AK10)/1000</f>
        <v>11.479591836734695</v>
      </c>
      <c r="AL11" s="462">
        <f>(AL8*AL10)/1000</f>
        <v>17.492711370262395</v>
      </c>
      <c r="AM11" s="463" t="s">
        <v>1916</v>
      </c>
      <c r="AN11" s="684"/>
    </row>
    <row r="12" spans="2:42" x14ac:dyDescent="0.3">
      <c r="B12" s="668"/>
      <c r="C12" s="436" t="s">
        <v>1791</v>
      </c>
      <c r="D12" s="436"/>
      <c r="E12" s="348">
        <v>0.03</v>
      </c>
      <c r="F12" s="348">
        <v>0.08</v>
      </c>
      <c r="G12" s="436"/>
      <c r="H12" s="412"/>
      <c r="J12" s="464" t="s">
        <v>1637</v>
      </c>
      <c r="K12" s="465" t="s">
        <v>1465</v>
      </c>
      <c r="L12" s="465" t="s">
        <v>1444</v>
      </c>
      <c r="M12" s="466" t="s">
        <v>1710</v>
      </c>
      <c r="N12" s="466" t="s">
        <v>1711</v>
      </c>
      <c r="O12" s="465" t="s">
        <v>1638</v>
      </c>
      <c r="P12" s="467" t="s">
        <v>1796</v>
      </c>
      <c r="R12" s="464" t="s">
        <v>1637</v>
      </c>
      <c r="S12" s="465" t="s">
        <v>1465</v>
      </c>
      <c r="T12" s="465" t="s">
        <v>1444</v>
      </c>
      <c r="U12" s="466" t="s">
        <v>1710</v>
      </c>
      <c r="V12" s="466" t="s">
        <v>1711</v>
      </c>
      <c r="W12" s="465" t="s">
        <v>1638</v>
      </c>
      <c r="X12" s="467" t="s">
        <v>1796</v>
      </c>
      <c r="Z12" s="464" t="s">
        <v>1637</v>
      </c>
      <c r="AA12" s="465" t="s">
        <v>1465</v>
      </c>
      <c r="AB12" s="465" t="s">
        <v>1444</v>
      </c>
      <c r="AC12" s="466" t="s">
        <v>1710</v>
      </c>
      <c r="AD12" s="466" t="s">
        <v>1711</v>
      </c>
      <c r="AE12" s="465" t="s">
        <v>1638</v>
      </c>
      <c r="AF12" s="467" t="s">
        <v>1796</v>
      </c>
      <c r="AH12" s="580"/>
      <c r="AI12" s="671" t="s">
        <v>1917</v>
      </c>
      <c r="AJ12" s="436" t="s">
        <v>1905</v>
      </c>
      <c r="AK12" s="468">
        <v>0.53</v>
      </c>
      <c r="AL12" s="468">
        <v>0.39</v>
      </c>
      <c r="AM12" s="456"/>
      <c r="AN12" s="684"/>
    </row>
    <row r="13" spans="2:42" ht="102" x14ac:dyDescent="0.3">
      <c r="B13" s="668"/>
      <c r="C13" s="436"/>
      <c r="D13" s="436"/>
      <c r="E13" s="436"/>
      <c r="F13" s="436"/>
      <c r="G13" s="436"/>
      <c r="H13" s="412"/>
      <c r="J13" s="667" t="s">
        <v>1799</v>
      </c>
      <c r="K13" s="426" t="s">
        <v>1800</v>
      </c>
      <c r="L13" s="426" t="s">
        <v>1801</v>
      </c>
      <c r="M13" s="344">
        <v>94</v>
      </c>
      <c r="N13" s="344">
        <v>232</v>
      </c>
      <c r="O13" s="435" t="s">
        <v>1815</v>
      </c>
      <c r="P13" s="452" t="s">
        <v>1918</v>
      </c>
      <c r="R13" s="667" t="s">
        <v>1799</v>
      </c>
      <c r="S13" s="606" t="s">
        <v>1919</v>
      </c>
      <c r="T13" s="606"/>
      <c r="U13" s="606"/>
      <c r="V13" s="606"/>
      <c r="W13" s="606"/>
      <c r="X13" s="672"/>
      <c r="Z13" s="667" t="s">
        <v>1799</v>
      </c>
      <c r="AA13" s="606" t="s">
        <v>1920</v>
      </c>
      <c r="AB13" s="606"/>
      <c r="AC13" s="606"/>
      <c r="AD13" s="606"/>
      <c r="AE13" s="606"/>
      <c r="AF13" s="672"/>
      <c r="AH13" s="580"/>
      <c r="AI13" s="671"/>
      <c r="AJ13" s="436" t="s">
        <v>1908</v>
      </c>
      <c r="AK13" s="456">
        <v>20</v>
      </c>
      <c r="AL13" s="456">
        <v>20</v>
      </c>
      <c r="AM13" s="456" t="s">
        <v>1700</v>
      </c>
      <c r="AN13" s="684"/>
    </row>
    <row r="14" spans="2:42" x14ac:dyDescent="0.3">
      <c r="B14" s="668"/>
      <c r="C14" s="436" t="s">
        <v>1793</v>
      </c>
      <c r="D14" s="436"/>
      <c r="E14" s="436">
        <v>25000</v>
      </c>
      <c r="F14" s="436">
        <v>108000</v>
      </c>
      <c r="G14" s="436" t="s">
        <v>1809</v>
      </c>
      <c r="H14" s="412"/>
      <c r="J14" s="668"/>
      <c r="K14" s="425"/>
      <c r="L14" s="425"/>
      <c r="M14" s="356"/>
      <c r="N14" s="356"/>
      <c r="O14" s="436"/>
      <c r="P14" s="345"/>
      <c r="R14" s="668"/>
      <c r="S14" s="595"/>
      <c r="T14" s="595"/>
      <c r="U14" s="595"/>
      <c r="V14" s="595"/>
      <c r="W14" s="595"/>
      <c r="X14" s="673"/>
      <c r="Z14" s="668"/>
      <c r="AA14" s="595"/>
      <c r="AB14" s="595"/>
      <c r="AC14" s="595"/>
      <c r="AD14" s="595"/>
      <c r="AE14" s="595"/>
      <c r="AF14" s="673"/>
      <c r="AH14" s="580"/>
      <c r="AI14" s="671"/>
      <c r="AJ14" s="436" t="s">
        <v>1911</v>
      </c>
      <c r="AK14" s="457">
        <v>0.245</v>
      </c>
      <c r="AL14" s="457">
        <v>0.245</v>
      </c>
      <c r="AM14" s="436" t="s">
        <v>1912</v>
      </c>
      <c r="AN14" s="684"/>
    </row>
    <row r="15" spans="2:42" x14ac:dyDescent="0.3">
      <c r="B15" s="668"/>
      <c r="C15" s="436"/>
      <c r="D15" s="436"/>
      <c r="E15" s="436"/>
      <c r="F15" s="436"/>
      <c r="G15" s="436"/>
      <c r="H15" s="432"/>
      <c r="J15" s="668"/>
      <c r="K15" s="425" t="s">
        <v>1802</v>
      </c>
      <c r="L15" s="436"/>
      <c r="M15" s="436">
        <v>1.76</v>
      </c>
      <c r="N15" s="436">
        <v>1.76</v>
      </c>
      <c r="O15" s="436" t="s">
        <v>1807</v>
      </c>
      <c r="P15" s="539" t="s">
        <v>1971</v>
      </c>
      <c r="R15" s="668"/>
      <c r="S15" s="595"/>
      <c r="T15" s="595"/>
      <c r="U15" s="595"/>
      <c r="V15" s="595"/>
      <c r="W15" s="595"/>
      <c r="X15" s="673"/>
      <c r="Z15" s="668"/>
      <c r="AA15" s="595"/>
      <c r="AB15" s="595"/>
      <c r="AC15" s="595"/>
      <c r="AD15" s="595"/>
      <c r="AE15" s="595"/>
      <c r="AF15" s="673"/>
      <c r="AH15" s="580"/>
      <c r="AI15" s="671"/>
      <c r="AJ15" s="436" t="s">
        <v>1921</v>
      </c>
      <c r="AK15" s="457">
        <v>45</v>
      </c>
      <c r="AL15" s="457">
        <v>45</v>
      </c>
      <c r="AM15" s="436" t="s">
        <v>1913</v>
      </c>
      <c r="AN15" s="684"/>
    </row>
    <row r="16" spans="2:42" ht="14.25" customHeight="1" x14ac:dyDescent="0.3">
      <c r="B16" s="668"/>
      <c r="C16" s="350" t="s">
        <v>1882</v>
      </c>
      <c r="D16" s="350"/>
      <c r="E16" s="416">
        <f>((($E$12*E5)/(1-((1+$E$12)^-$E$10)))/$E$14)*1000</f>
        <v>0.11485574207825563</v>
      </c>
      <c r="F16" s="416">
        <f>(((F12*F5)/(1-((1+F12)^-F10)))/F14)*1000</f>
        <v>0.2177164216855926</v>
      </c>
      <c r="G16" s="350" t="s">
        <v>1881</v>
      </c>
      <c r="H16" s="432"/>
      <c r="J16" s="668"/>
      <c r="K16" s="436"/>
      <c r="L16" s="436"/>
      <c r="M16" s="436"/>
      <c r="N16" s="436"/>
      <c r="O16" s="436"/>
      <c r="P16" s="432"/>
      <c r="R16" s="668"/>
      <c r="S16" s="595"/>
      <c r="T16" s="595"/>
      <c r="U16" s="595"/>
      <c r="V16" s="595"/>
      <c r="W16" s="595"/>
      <c r="X16" s="673"/>
      <c r="Z16" s="668"/>
      <c r="AA16" s="595"/>
      <c r="AB16" s="595"/>
      <c r="AC16" s="595"/>
      <c r="AD16" s="595"/>
      <c r="AE16" s="595"/>
      <c r="AF16" s="673"/>
      <c r="AH16" s="580"/>
      <c r="AI16" s="671"/>
      <c r="AJ16" s="676" t="s">
        <v>1914</v>
      </c>
      <c r="AK16" s="457">
        <f>AK13/AK12</f>
        <v>37.735849056603769</v>
      </c>
      <c r="AL16" s="457">
        <f>AL13/AL12</f>
        <v>51.282051282051277</v>
      </c>
      <c r="AM16" s="456" t="s">
        <v>1700</v>
      </c>
      <c r="AN16" s="684"/>
    </row>
    <row r="17" spans="2:40" x14ac:dyDescent="0.3">
      <c r="B17" s="668"/>
      <c r="C17" s="350" t="s">
        <v>1883</v>
      </c>
      <c r="D17" s="350"/>
      <c r="E17" s="416">
        <f>((($E$12*E6)/(1-((1+$E$12)^-$E$10)))/$E$14)*1000</f>
        <v>0.13782689049390676</v>
      </c>
      <c r="F17" s="416">
        <f>((($F$12*F6)/(1-((1+$F$12)^-$F$10)))/$F$14)*1000</f>
        <v>0.30480299035982961</v>
      </c>
      <c r="G17" s="350" t="s">
        <v>1881</v>
      </c>
      <c r="H17" s="432"/>
      <c r="J17" s="668"/>
      <c r="K17" s="350" t="s">
        <v>1683</v>
      </c>
      <c r="L17" s="350"/>
      <c r="M17" s="416">
        <f>(M13*M15)/1000</f>
        <v>0.16544</v>
      </c>
      <c r="N17" s="416">
        <f>(N13*N15)/1000</f>
        <v>0.40832000000000002</v>
      </c>
      <c r="O17" s="350" t="s">
        <v>1881</v>
      </c>
      <c r="P17" s="432"/>
      <c r="R17" s="668"/>
      <c r="S17" s="595"/>
      <c r="T17" s="595"/>
      <c r="U17" s="595"/>
      <c r="V17" s="595"/>
      <c r="W17" s="595"/>
      <c r="X17" s="673"/>
      <c r="Z17" s="668"/>
      <c r="AA17" s="595"/>
      <c r="AB17" s="595"/>
      <c r="AC17" s="595"/>
      <c r="AD17" s="595"/>
      <c r="AE17" s="595"/>
      <c r="AF17" s="673"/>
      <c r="AH17" s="580"/>
      <c r="AI17" s="671"/>
      <c r="AJ17" s="676"/>
      <c r="AK17" s="457">
        <f>AK16/AK14</f>
        <v>154.02387370042354</v>
      </c>
      <c r="AL17" s="457">
        <f>AL16/AL14</f>
        <v>209.31449502878073</v>
      </c>
      <c r="AM17" s="456" t="s">
        <v>1915</v>
      </c>
      <c r="AN17" s="684"/>
    </row>
    <row r="18" spans="2:40" x14ac:dyDescent="0.3">
      <c r="B18" s="669"/>
      <c r="C18" s="458"/>
      <c r="D18" s="354"/>
      <c r="E18" s="469"/>
      <c r="F18" s="459"/>
      <c r="G18" s="458"/>
      <c r="H18" s="417"/>
      <c r="J18" s="669"/>
      <c r="K18" s="458"/>
      <c r="L18" s="354"/>
      <c r="M18" s="459"/>
      <c r="N18" s="459"/>
      <c r="O18" s="458"/>
      <c r="P18" s="417"/>
      <c r="R18" s="669"/>
      <c r="S18" s="593"/>
      <c r="T18" s="593"/>
      <c r="U18" s="593"/>
      <c r="V18" s="593"/>
      <c r="W18" s="593"/>
      <c r="X18" s="674"/>
      <c r="Z18" s="669"/>
      <c r="AA18" s="593"/>
      <c r="AB18" s="593"/>
      <c r="AC18" s="593"/>
      <c r="AD18" s="593"/>
      <c r="AE18" s="593"/>
      <c r="AF18" s="674"/>
      <c r="AH18" s="581"/>
      <c r="AI18" s="686"/>
      <c r="AJ18" s="687"/>
      <c r="AK18" s="470">
        <f>(AK15*AK17)/1000</f>
        <v>6.9310743165190587</v>
      </c>
      <c r="AL18" s="470">
        <f>(AL15*AL17)/1000</f>
        <v>9.419152276295133</v>
      </c>
      <c r="AM18" s="471" t="s">
        <v>1916</v>
      </c>
      <c r="AN18" s="685"/>
    </row>
    <row r="19" spans="2:40" x14ac:dyDescent="0.3">
      <c r="B19" s="434"/>
      <c r="C19" s="357"/>
      <c r="D19" s="436"/>
      <c r="E19" s="419"/>
      <c r="F19" s="460"/>
      <c r="G19" s="357"/>
      <c r="H19" s="436"/>
      <c r="AJ19" s="141"/>
      <c r="AK19" s="472"/>
      <c r="AL19" s="472"/>
      <c r="AM19" s="473"/>
    </row>
    <row r="20" spans="2:40" ht="54" customHeight="1" x14ac:dyDescent="0.3">
      <c r="J20" s="543" t="s">
        <v>1637</v>
      </c>
      <c r="K20" s="544" t="s">
        <v>1465</v>
      </c>
      <c r="L20" s="544" t="s">
        <v>1444</v>
      </c>
      <c r="M20" s="545" t="s">
        <v>1710</v>
      </c>
      <c r="N20" s="545" t="s">
        <v>1711</v>
      </c>
      <c r="O20" s="544" t="s">
        <v>1638</v>
      </c>
      <c r="P20" s="546" t="s">
        <v>1796</v>
      </c>
      <c r="R20" s="547" t="s">
        <v>1637</v>
      </c>
      <c r="S20" s="548" t="s">
        <v>1465</v>
      </c>
      <c r="T20" s="548" t="s">
        <v>1444</v>
      </c>
      <c r="U20" s="549" t="s">
        <v>1710</v>
      </c>
      <c r="V20" s="549" t="s">
        <v>1711</v>
      </c>
      <c r="W20" s="548" t="s">
        <v>1638</v>
      </c>
      <c r="X20" s="550" t="s">
        <v>1796</v>
      </c>
      <c r="Z20" s="547" t="s">
        <v>1637</v>
      </c>
      <c r="AA20" s="548" t="s">
        <v>1465</v>
      </c>
      <c r="AB20" s="548" t="s">
        <v>1444</v>
      </c>
      <c r="AC20" s="549" t="s">
        <v>1710</v>
      </c>
      <c r="AD20" s="549" t="s">
        <v>1711</v>
      </c>
      <c r="AE20" s="548" t="s">
        <v>1638</v>
      </c>
      <c r="AF20" s="550" t="s">
        <v>1796</v>
      </c>
      <c r="AH20" s="447" t="s">
        <v>1922</v>
      </c>
      <c r="AI20" s="448" t="s">
        <v>1898</v>
      </c>
      <c r="AJ20" s="448" t="s">
        <v>1465</v>
      </c>
      <c r="AK20" s="448" t="s">
        <v>1710</v>
      </c>
      <c r="AL20" s="448" t="s">
        <v>1711</v>
      </c>
      <c r="AM20" s="448" t="s">
        <v>1638</v>
      </c>
      <c r="AN20" s="450" t="s">
        <v>1796</v>
      </c>
    </row>
    <row r="21" spans="2:40" ht="27" customHeight="1" x14ac:dyDescent="0.3">
      <c r="B21" s="464" t="s">
        <v>1637</v>
      </c>
      <c r="C21" s="465" t="s">
        <v>1465</v>
      </c>
      <c r="D21" s="465" t="s">
        <v>1444</v>
      </c>
      <c r="E21" s="466" t="s">
        <v>1710</v>
      </c>
      <c r="F21" s="466" t="s">
        <v>1711</v>
      </c>
      <c r="G21" s="465" t="s">
        <v>1638</v>
      </c>
      <c r="H21" s="467" t="s">
        <v>1796</v>
      </c>
      <c r="J21" s="668" t="s">
        <v>1819</v>
      </c>
      <c r="K21" s="425"/>
      <c r="L21" s="425"/>
      <c r="M21" s="348"/>
      <c r="N21" s="348"/>
      <c r="O21" s="436"/>
      <c r="P21" s="424"/>
      <c r="R21" s="668" t="s">
        <v>1819</v>
      </c>
      <c r="S21" s="425"/>
      <c r="T21" s="425"/>
      <c r="U21" s="348"/>
      <c r="V21" s="348"/>
      <c r="W21" s="436"/>
      <c r="X21" s="424"/>
      <c r="Z21" s="668" t="s">
        <v>1819</v>
      </c>
      <c r="AA21" s="425"/>
      <c r="AB21" s="425"/>
      <c r="AC21" s="348"/>
      <c r="AD21" s="348"/>
      <c r="AE21" s="436"/>
      <c r="AF21" s="424"/>
      <c r="AH21" s="579" t="s">
        <v>1923</v>
      </c>
      <c r="AI21" s="670" t="s">
        <v>1904</v>
      </c>
      <c r="AJ21" s="435" t="s">
        <v>1905</v>
      </c>
      <c r="AK21" s="453">
        <v>0.22</v>
      </c>
      <c r="AL21" s="453">
        <v>0.19</v>
      </c>
      <c r="AM21" s="474"/>
      <c r="AN21" s="683" t="s">
        <v>1906</v>
      </c>
    </row>
    <row r="22" spans="2:40" ht="57" customHeight="1" x14ac:dyDescent="0.3">
      <c r="B22" s="667" t="s">
        <v>1797</v>
      </c>
      <c r="C22" s="606" t="s">
        <v>1798</v>
      </c>
      <c r="D22" s="677" t="s">
        <v>1924</v>
      </c>
      <c r="E22" s="344">
        <v>450</v>
      </c>
      <c r="F22" s="344">
        <v>718</v>
      </c>
      <c r="G22" s="435" t="s">
        <v>1812</v>
      </c>
      <c r="H22" s="688" t="s">
        <v>1925</v>
      </c>
      <c r="J22" s="668"/>
      <c r="K22" s="676" t="s">
        <v>1884</v>
      </c>
      <c r="L22" s="675" t="s">
        <v>1885</v>
      </c>
      <c r="M22" s="419">
        <f>E68+E57+E47+E37+E28+M17+M9+E16</f>
        <v>1.8890366693416962</v>
      </c>
      <c r="N22" s="419">
        <f>F68+F57+F47+F37+F28+N17+N9+F16</f>
        <v>3.4067712137415551</v>
      </c>
      <c r="O22" s="350" t="s">
        <v>1881</v>
      </c>
      <c r="P22" s="345"/>
      <c r="R22" s="668"/>
      <c r="S22" s="676" t="s">
        <v>1884</v>
      </c>
      <c r="T22" s="675" t="s">
        <v>1885</v>
      </c>
      <c r="U22" s="419">
        <f>E68+E57+E47+E37+E28+U9+E16</f>
        <v>1.7071657750327534</v>
      </c>
      <c r="V22" s="419">
        <f>F68+F57+F47+F37+F28+V9+F16</f>
        <v>3.935361782847246</v>
      </c>
      <c r="W22" s="350" t="s">
        <v>1881</v>
      </c>
      <c r="X22" s="345"/>
      <c r="Z22" s="668"/>
      <c r="AA22" s="676" t="s">
        <v>1884</v>
      </c>
      <c r="AB22" s="675" t="s">
        <v>1885</v>
      </c>
      <c r="AC22" s="419">
        <f>E68+E57+E47+E37+E28+AC9+E16</f>
        <v>3.4938466693416963</v>
      </c>
      <c r="AD22" s="419">
        <f>F68+F57+F47+F37+F28+AD9+F16</f>
        <v>15.078751213741555</v>
      </c>
      <c r="AE22" s="350" t="s">
        <v>1881</v>
      </c>
      <c r="AF22" s="345"/>
      <c r="AH22" s="580"/>
      <c r="AI22" s="671"/>
      <c r="AJ22" s="436" t="s">
        <v>1908</v>
      </c>
      <c r="AK22" s="456">
        <v>20</v>
      </c>
      <c r="AL22" s="456">
        <v>20</v>
      </c>
      <c r="AM22" s="456" t="s">
        <v>1700</v>
      </c>
      <c r="AN22" s="684"/>
    </row>
    <row r="23" spans="2:40" x14ac:dyDescent="0.3">
      <c r="B23" s="668"/>
      <c r="C23" s="595"/>
      <c r="D23" s="678"/>
      <c r="E23" s="356">
        <f>E22*(17/14)</f>
        <v>546.42857142857133</v>
      </c>
      <c r="F23" s="356">
        <f>F22*(17/14)</f>
        <v>871.85714285714278</v>
      </c>
      <c r="G23" s="436" t="s">
        <v>1813</v>
      </c>
      <c r="H23" s="689"/>
      <c r="J23" s="668"/>
      <c r="K23" s="676"/>
      <c r="L23" s="675"/>
      <c r="M23" s="419">
        <f>M22/0.75</f>
        <v>2.5187155591222616</v>
      </c>
      <c r="N23" s="419">
        <f>N22/0.55</f>
        <v>6.1941294795300994</v>
      </c>
      <c r="O23" s="350" t="s">
        <v>1886</v>
      </c>
      <c r="P23" s="345"/>
      <c r="R23" s="668"/>
      <c r="S23" s="676"/>
      <c r="T23" s="675"/>
      <c r="U23" s="419">
        <f>U22/0.75</f>
        <v>2.2762210333770043</v>
      </c>
      <c r="V23" s="419">
        <f>V22/0.55</f>
        <v>7.1552032415404465</v>
      </c>
      <c r="W23" s="350" t="s">
        <v>1886</v>
      </c>
      <c r="X23" s="345"/>
      <c r="Z23" s="668"/>
      <c r="AA23" s="676"/>
      <c r="AB23" s="675"/>
      <c r="AC23" s="419">
        <f>AC22/0.75</f>
        <v>4.6584622257889281</v>
      </c>
      <c r="AD23" s="419">
        <f>AD22/0.55</f>
        <v>27.415911297711915</v>
      </c>
      <c r="AE23" s="350" t="s">
        <v>1886</v>
      </c>
      <c r="AF23" s="345"/>
      <c r="AH23" s="580"/>
      <c r="AI23" s="671"/>
      <c r="AJ23" s="436" t="s">
        <v>1911</v>
      </c>
      <c r="AK23" s="457">
        <v>0.71</v>
      </c>
      <c r="AL23" s="457">
        <v>0.71</v>
      </c>
      <c r="AM23" s="436" t="s">
        <v>1912</v>
      </c>
      <c r="AN23" s="684"/>
    </row>
    <row r="24" spans="2:40" x14ac:dyDescent="0.3">
      <c r="B24" s="668"/>
      <c r="C24" s="425"/>
      <c r="D24" s="425"/>
      <c r="E24" s="356"/>
      <c r="F24" s="356"/>
      <c r="G24" s="436"/>
      <c r="H24" s="345"/>
      <c r="J24" s="668"/>
      <c r="K24" s="425"/>
      <c r="L24" s="433"/>
      <c r="M24" s="419"/>
      <c r="N24" s="419"/>
      <c r="O24" s="436"/>
      <c r="P24" s="345"/>
      <c r="R24" s="668"/>
      <c r="S24" s="425"/>
      <c r="T24" s="433"/>
      <c r="U24" s="419"/>
      <c r="V24" s="419"/>
      <c r="W24" s="436"/>
      <c r="X24" s="345"/>
      <c r="Z24" s="668"/>
      <c r="AA24" s="425"/>
      <c r="AB24" s="433"/>
      <c r="AC24" s="419"/>
      <c r="AD24" s="419"/>
      <c r="AE24" s="436"/>
      <c r="AF24" s="345"/>
      <c r="AH24" s="580"/>
      <c r="AI24" s="671"/>
      <c r="AJ24" s="436" t="s">
        <v>1921</v>
      </c>
      <c r="AK24" s="457">
        <v>32</v>
      </c>
      <c r="AL24" s="457">
        <v>32</v>
      </c>
      <c r="AM24" s="436" t="s">
        <v>1913</v>
      </c>
      <c r="AN24" s="684"/>
    </row>
    <row r="25" spans="2:40" ht="27.75" customHeight="1" x14ac:dyDescent="0.3">
      <c r="B25" s="668"/>
      <c r="C25" s="436"/>
      <c r="D25" s="436"/>
      <c r="E25" s="436"/>
      <c r="F25" s="436"/>
      <c r="G25" s="436"/>
      <c r="H25" s="432"/>
      <c r="J25" s="668"/>
      <c r="K25" s="676" t="s">
        <v>1887</v>
      </c>
      <c r="L25" s="675" t="s">
        <v>1888</v>
      </c>
      <c r="M25" s="419">
        <f>E69+E62+E47+E37+E28+M17+M9+E16</f>
        <v>1.941174484424014</v>
      </c>
      <c r="N25" s="419">
        <f>F69+F62+F47+F37+F28+N17+N9+F16</f>
        <v>3.8244133379713481</v>
      </c>
      <c r="O25" s="350" t="s">
        <v>1881</v>
      </c>
      <c r="P25" s="345"/>
      <c r="R25" s="668"/>
      <c r="S25" s="676" t="s">
        <v>1887</v>
      </c>
      <c r="T25" s="675" t="s">
        <v>1888</v>
      </c>
      <c r="U25" s="419">
        <f>E69+E62+E47+E37+E28+U9+E16</f>
        <v>1.7593035901150713</v>
      </c>
      <c r="V25" s="419">
        <f>F69+F62+F47+F37+F28+V9+F16</f>
        <v>4.3530039070770385</v>
      </c>
      <c r="W25" s="350" t="s">
        <v>1881</v>
      </c>
      <c r="X25" s="345"/>
      <c r="Z25" s="668"/>
      <c r="AA25" s="676" t="s">
        <v>1887</v>
      </c>
      <c r="AB25" s="675" t="s">
        <v>1888</v>
      </c>
      <c r="AC25" s="419">
        <f>E69+E62+E47+E37+E28+AC9+E16</f>
        <v>3.545984484424014</v>
      </c>
      <c r="AD25" s="419">
        <f>F69+F62+F47+F37+F28+AD9+F16</f>
        <v>15.496393337971348</v>
      </c>
      <c r="AE25" s="350" t="s">
        <v>1881</v>
      </c>
      <c r="AF25" s="345"/>
      <c r="AH25" s="580"/>
      <c r="AI25" s="671"/>
      <c r="AJ25" s="676" t="s">
        <v>1914</v>
      </c>
      <c r="AK25" s="457">
        <f>AK22/AK21</f>
        <v>90.909090909090907</v>
      </c>
      <c r="AL25" s="457">
        <f>AL22/AL21</f>
        <v>105.26315789473684</v>
      </c>
      <c r="AM25" s="456" t="s">
        <v>1700</v>
      </c>
      <c r="AN25" s="684"/>
    </row>
    <row r="26" spans="2:40" ht="58.5" customHeight="1" x14ac:dyDescent="0.3">
      <c r="B26" s="668"/>
      <c r="C26" s="425" t="s">
        <v>1712</v>
      </c>
      <c r="D26" s="436"/>
      <c r="E26" s="436">
        <v>0.112</v>
      </c>
      <c r="F26" s="436">
        <v>0.112</v>
      </c>
      <c r="G26" s="436" t="s">
        <v>1814</v>
      </c>
      <c r="H26" s="475" t="s">
        <v>1926</v>
      </c>
      <c r="J26" s="668"/>
      <c r="K26" s="676"/>
      <c r="L26" s="675"/>
      <c r="M26" s="419">
        <f>M25/0.75</f>
        <v>2.5882326458986853</v>
      </c>
      <c r="N26" s="419">
        <f>N25/0.55</f>
        <v>6.9534787963115416</v>
      </c>
      <c r="O26" s="350" t="s">
        <v>1886</v>
      </c>
      <c r="P26" s="345"/>
      <c r="R26" s="668"/>
      <c r="S26" s="676"/>
      <c r="T26" s="675"/>
      <c r="U26" s="419">
        <f>U25/0.75</f>
        <v>2.3457381201534284</v>
      </c>
      <c r="V26" s="419">
        <f>V25/0.55</f>
        <v>7.9145525583218879</v>
      </c>
      <c r="W26" s="350" t="s">
        <v>1886</v>
      </c>
      <c r="X26" s="345"/>
      <c r="Z26" s="668"/>
      <c r="AA26" s="676"/>
      <c r="AB26" s="675"/>
      <c r="AC26" s="419">
        <f>AC25/0.75</f>
        <v>4.7279793125653518</v>
      </c>
      <c r="AD26" s="419">
        <f>AD25/0.55</f>
        <v>28.175260614493357</v>
      </c>
      <c r="AE26" s="350" t="s">
        <v>1886</v>
      </c>
      <c r="AF26" s="345"/>
      <c r="AH26" s="580"/>
      <c r="AI26" s="671"/>
      <c r="AJ26" s="676"/>
      <c r="AK26" s="457">
        <f>AK25/AK23</f>
        <v>128.04097311139566</v>
      </c>
      <c r="AL26" s="457">
        <f>AL25/AL23</f>
        <v>148.25796886582654</v>
      </c>
      <c r="AM26" s="456" t="s">
        <v>1915</v>
      </c>
      <c r="AN26" s="684"/>
    </row>
    <row r="27" spans="2:40" x14ac:dyDescent="0.3">
      <c r="B27" s="668"/>
      <c r="C27" s="436"/>
      <c r="D27" s="436"/>
      <c r="E27" s="436"/>
      <c r="F27" s="436"/>
      <c r="G27" s="436"/>
      <c r="H27" s="432"/>
      <c r="J27" s="669"/>
      <c r="K27" s="476"/>
      <c r="L27" s="476"/>
      <c r="M27" s="353"/>
      <c r="N27" s="353"/>
      <c r="O27" s="476"/>
      <c r="P27" s="349"/>
      <c r="R27" s="669"/>
      <c r="S27" s="476"/>
      <c r="T27" s="476"/>
      <c r="U27" s="353"/>
      <c r="V27" s="353"/>
      <c r="W27" s="476"/>
      <c r="X27" s="349"/>
      <c r="Z27" s="669"/>
      <c r="AA27" s="476"/>
      <c r="AB27" s="476"/>
      <c r="AC27" s="353"/>
      <c r="AD27" s="353"/>
      <c r="AE27" s="476"/>
      <c r="AF27" s="349"/>
      <c r="AH27" s="580"/>
      <c r="AI27" s="671"/>
      <c r="AJ27" s="676"/>
      <c r="AK27" s="462">
        <f>(AK24*AK26)/1000</f>
        <v>4.0973111395646606</v>
      </c>
      <c r="AL27" s="462">
        <f>(AL24*AL26)/1000</f>
        <v>4.7442550037064493</v>
      </c>
      <c r="AM27" s="463" t="s">
        <v>1916</v>
      </c>
      <c r="AN27" s="684"/>
    </row>
    <row r="28" spans="2:40" x14ac:dyDescent="0.3">
      <c r="B28" s="668"/>
      <c r="C28" s="350" t="s">
        <v>1683</v>
      </c>
      <c r="D28" s="350"/>
      <c r="E28" s="416">
        <f>E23*E26/1000</f>
        <v>6.1199999999999991E-2</v>
      </c>
      <c r="F28" s="416">
        <f>F23*F26/1000</f>
        <v>9.7647999999999999E-2</v>
      </c>
      <c r="G28" s="350" t="s">
        <v>1881</v>
      </c>
      <c r="H28" s="432"/>
      <c r="AH28" s="580"/>
      <c r="AI28" s="671" t="s">
        <v>1917</v>
      </c>
      <c r="AJ28" s="436" t="s">
        <v>1905</v>
      </c>
      <c r="AK28" s="468">
        <v>0.36</v>
      </c>
      <c r="AL28" s="468">
        <v>0.33</v>
      </c>
      <c r="AM28" s="456"/>
      <c r="AN28" s="684"/>
    </row>
    <row r="29" spans="2:40" x14ac:dyDescent="0.3">
      <c r="B29" s="669"/>
      <c r="C29" s="458"/>
      <c r="D29" s="354"/>
      <c r="E29" s="459"/>
      <c r="F29" s="459"/>
      <c r="G29" s="458"/>
      <c r="H29" s="417"/>
      <c r="M29" s="477"/>
      <c r="N29" s="477"/>
      <c r="AH29" s="580"/>
      <c r="AI29" s="671"/>
      <c r="AJ29" s="436" t="s">
        <v>1908</v>
      </c>
      <c r="AK29" s="456">
        <v>20</v>
      </c>
      <c r="AL29" s="456">
        <v>20</v>
      </c>
      <c r="AM29" s="456" t="s">
        <v>1700</v>
      </c>
      <c r="AN29" s="684"/>
    </row>
    <row r="30" spans="2:40" x14ac:dyDescent="0.3">
      <c r="B30" s="434"/>
      <c r="C30" s="357"/>
      <c r="D30" s="436"/>
      <c r="E30" s="460"/>
      <c r="F30" s="460"/>
      <c r="G30" s="357"/>
      <c r="H30" s="436"/>
      <c r="M30" s="477"/>
      <c r="N30" s="477"/>
      <c r="AH30" s="580"/>
      <c r="AI30" s="671"/>
      <c r="AJ30" s="436" t="s">
        <v>1911</v>
      </c>
      <c r="AK30" s="457">
        <v>0.71</v>
      </c>
      <c r="AL30" s="457">
        <v>0.71</v>
      </c>
      <c r="AM30" s="436" t="s">
        <v>1912</v>
      </c>
      <c r="AN30" s="684"/>
    </row>
    <row r="31" spans="2:40" x14ac:dyDescent="0.3">
      <c r="B31" s="434"/>
      <c r="C31" s="357"/>
      <c r="D31" s="436"/>
      <c r="E31" s="460"/>
      <c r="F31" s="460"/>
      <c r="G31" s="357"/>
      <c r="H31" s="436"/>
      <c r="J31" s="478"/>
      <c r="M31" s="477"/>
      <c r="N31" s="477"/>
      <c r="AH31" s="580"/>
      <c r="AI31" s="671"/>
      <c r="AJ31" s="436" t="s">
        <v>1921</v>
      </c>
      <c r="AK31" s="457">
        <v>32</v>
      </c>
      <c r="AL31" s="457">
        <v>32</v>
      </c>
      <c r="AM31" s="436" t="s">
        <v>1913</v>
      </c>
      <c r="AN31" s="684"/>
    </row>
    <row r="32" spans="2:40" ht="14.25" customHeight="1" x14ac:dyDescent="0.3">
      <c r="B32" s="464" t="s">
        <v>1637</v>
      </c>
      <c r="C32" s="465" t="s">
        <v>1465</v>
      </c>
      <c r="D32" s="465" t="s">
        <v>1444</v>
      </c>
      <c r="E32" s="466" t="s">
        <v>1710</v>
      </c>
      <c r="F32" s="466" t="s">
        <v>1711</v>
      </c>
      <c r="G32" s="465" t="s">
        <v>1638</v>
      </c>
      <c r="H32" s="467" t="s">
        <v>1796</v>
      </c>
      <c r="AH32" s="580"/>
      <c r="AI32" s="671"/>
      <c r="AJ32" s="676" t="s">
        <v>1914</v>
      </c>
      <c r="AK32" s="457">
        <f>AK29/AK28</f>
        <v>55.555555555555557</v>
      </c>
      <c r="AL32" s="457">
        <f>AL29/AL28</f>
        <v>60.606060606060602</v>
      </c>
      <c r="AM32" s="456" t="s">
        <v>1700</v>
      </c>
      <c r="AN32" s="684"/>
    </row>
    <row r="33" spans="2:41" ht="51.75" customHeight="1" x14ac:dyDescent="0.3">
      <c r="B33" s="667" t="s">
        <v>1820</v>
      </c>
      <c r="C33" s="479" t="s">
        <v>1821</v>
      </c>
      <c r="D33" s="479"/>
      <c r="E33" s="346">
        <v>800</v>
      </c>
      <c r="F33" s="346">
        <v>1000</v>
      </c>
      <c r="G33" s="480" t="s">
        <v>1823</v>
      </c>
      <c r="H33" s="481" t="s">
        <v>1926</v>
      </c>
      <c r="AH33" s="580"/>
      <c r="AI33" s="671"/>
      <c r="AJ33" s="676"/>
      <c r="AK33" s="457">
        <f>AK32/AK30</f>
        <v>78.247261345852905</v>
      </c>
      <c r="AL33" s="457">
        <f>AL32/AL30</f>
        <v>85.360648740930429</v>
      </c>
      <c r="AM33" s="456" t="s">
        <v>1915</v>
      </c>
      <c r="AN33" s="684"/>
    </row>
    <row r="34" spans="2:41" x14ac:dyDescent="0.3">
      <c r="B34" s="668"/>
      <c r="C34" s="482" t="s">
        <v>1830</v>
      </c>
      <c r="D34" s="482"/>
      <c r="E34" s="483">
        <v>0.54</v>
      </c>
      <c r="F34" s="483">
        <v>0.54</v>
      </c>
      <c r="G34" s="482" t="s">
        <v>1831</v>
      </c>
      <c r="H34" s="420"/>
      <c r="AH34" s="580"/>
      <c r="AI34" s="671"/>
      <c r="AJ34" s="676"/>
      <c r="AK34" s="462">
        <f>(AK31*AK33)/1000</f>
        <v>2.5039123630672928</v>
      </c>
      <c r="AL34" s="462">
        <f>(AL31*AL33)/1000</f>
        <v>2.7315407597097736</v>
      </c>
      <c r="AM34" s="463" t="s">
        <v>1916</v>
      </c>
      <c r="AN34" s="684"/>
    </row>
    <row r="35" spans="2:41" ht="27.75" customHeight="1" x14ac:dyDescent="0.3">
      <c r="B35" s="668"/>
      <c r="C35" s="425" t="s">
        <v>1822</v>
      </c>
      <c r="D35" s="425"/>
      <c r="E35" s="351">
        <v>2.3E-2</v>
      </c>
      <c r="F35" s="351">
        <v>3.2000000000000001E-2</v>
      </c>
      <c r="G35" s="436" t="s">
        <v>1824</v>
      </c>
      <c r="H35" s="420" t="s">
        <v>1970</v>
      </c>
      <c r="AH35" s="580"/>
      <c r="AI35" s="671" t="s">
        <v>1927</v>
      </c>
      <c r="AJ35" s="436" t="s">
        <v>1905</v>
      </c>
      <c r="AK35" s="468">
        <v>0.48</v>
      </c>
      <c r="AL35" s="468">
        <v>0.42</v>
      </c>
      <c r="AM35" s="456"/>
      <c r="AN35" s="684"/>
    </row>
    <row r="36" spans="2:41" ht="56.25" customHeight="1" x14ac:dyDescent="0.3">
      <c r="B36" s="668"/>
      <c r="C36" s="425"/>
      <c r="D36" s="425"/>
      <c r="E36" s="356"/>
      <c r="F36" s="356"/>
      <c r="G36" s="436"/>
      <c r="H36" s="345"/>
      <c r="AH36" s="580"/>
      <c r="AI36" s="671"/>
      <c r="AJ36" s="436" t="s">
        <v>1908</v>
      </c>
      <c r="AK36" s="456">
        <v>20</v>
      </c>
      <c r="AL36" s="456">
        <v>20</v>
      </c>
      <c r="AM36" s="456" t="s">
        <v>1700</v>
      </c>
      <c r="AN36" s="684"/>
    </row>
    <row r="37" spans="2:41" x14ac:dyDescent="0.3">
      <c r="B37" s="668"/>
      <c r="C37" s="350" t="s">
        <v>1683</v>
      </c>
      <c r="D37" s="350"/>
      <c r="E37" s="416">
        <f>(E33*E35/E34)/1000</f>
        <v>3.4074074074074069E-2</v>
      </c>
      <c r="F37" s="416">
        <f>(F33*F35/F34)/1000</f>
        <v>5.9259259259259255E-2</v>
      </c>
      <c r="G37" s="350" t="s">
        <v>1881</v>
      </c>
      <c r="H37" s="432"/>
      <c r="AH37" s="580"/>
      <c r="AI37" s="671"/>
      <c r="AJ37" s="436" t="s">
        <v>1911</v>
      </c>
      <c r="AK37" s="457">
        <v>0.71</v>
      </c>
      <c r="AL37" s="457">
        <v>0.71</v>
      </c>
      <c r="AM37" s="436" t="s">
        <v>1912</v>
      </c>
      <c r="AN37" s="684"/>
    </row>
    <row r="38" spans="2:41" x14ac:dyDescent="0.3">
      <c r="B38" s="669"/>
      <c r="C38" s="458"/>
      <c r="D38" s="354"/>
      <c r="E38" s="459"/>
      <c r="F38" s="459"/>
      <c r="G38" s="458"/>
      <c r="H38" s="417"/>
      <c r="AH38" s="580"/>
      <c r="AI38" s="671"/>
      <c r="AJ38" s="436" t="s">
        <v>1921</v>
      </c>
      <c r="AK38" s="457">
        <v>32</v>
      </c>
      <c r="AL38" s="457">
        <v>32</v>
      </c>
      <c r="AM38" s="436" t="s">
        <v>1913</v>
      </c>
      <c r="AN38" s="684"/>
      <c r="AO38" s="414"/>
    </row>
    <row r="39" spans="2:41" ht="27.75" customHeight="1" x14ac:dyDescent="0.3">
      <c r="B39" s="434"/>
      <c r="C39" s="357"/>
      <c r="D39" s="436"/>
      <c r="E39" s="460"/>
      <c r="F39" s="460"/>
      <c r="G39" s="357"/>
      <c r="H39" s="436"/>
      <c r="AH39" s="580"/>
      <c r="AI39" s="671"/>
      <c r="AJ39" s="676" t="s">
        <v>1914</v>
      </c>
      <c r="AK39" s="457">
        <f>AK36/AK35</f>
        <v>41.666666666666671</v>
      </c>
      <c r="AL39" s="457">
        <f>AL36/AL35</f>
        <v>47.61904761904762</v>
      </c>
      <c r="AM39" s="456" t="s">
        <v>1700</v>
      </c>
      <c r="AN39" s="684"/>
      <c r="AO39" s="414"/>
    </row>
    <row r="40" spans="2:41" x14ac:dyDescent="0.3">
      <c r="AH40" s="580"/>
      <c r="AI40" s="671"/>
      <c r="AJ40" s="676"/>
      <c r="AK40" s="457">
        <f>AK39/AK37</f>
        <v>58.685446009389679</v>
      </c>
      <c r="AL40" s="457">
        <f>AL39/AL37</f>
        <v>67.069081153588201</v>
      </c>
      <c r="AM40" s="456" t="s">
        <v>1915</v>
      </c>
      <c r="AN40" s="684"/>
      <c r="AO40" s="414"/>
    </row>
    <row r="41" spans="2:41" ht="14.25" customHeight="1" x14ac:dyDescent="0.3">
      <c r="B41" s="464" t="s">
        <v>1637</v>
      </c>
      <c r="C41" s="465" t="s">
        <v>1465</v>
      </c>
      <c r="D41" s="465" t="s">
        <v>1444</v>
      </c>
      <c r="E41" s="466" t="s">
        <v>1710</v>
      </c>
      <c r="F41" s="466" t="s">
        <v>1711</v>
      </c>
      <c r="G41" s="465" t="s">
        <v>1638</v>
      </c>
      <c r="H41" s="467" t="s">
        <v>1796</v>
      </c>
      <c r="AH41" s="581"/>
      <c r="AI41" s="686"/>
      <c r="AJ41" s="687"/>
      <c r="AK41" s="470">
        <f>(AK38*AK40)/1000</f>
        <v>1.8779342723004697</v>
      </c>
      <c r="AL41" s="470">
        <f>(AL38*AL40)/1000</f>
        <v>2.1462105969148224</v>
      </c>
      <c r="AM41" s="471" t="s">
        <v>1916</v>
      </c>
      <c r="AN41" s="685"/>
      <c r="AO41" s="414"/>
    </row>
    <row r="42" spans="2:41" ht="61.2" customHeight="1" x14ac:dyDescent="0.3">
      <c r="B42" s="667" t="s">
        <v>1817</v>
      </c>
      <c r="C42" s="479" t="s">
        <v>1805</v>
      </c>
      <c r="D42" s="479" t="s">
        <v>1804</v>
      </c>
      <c r="E42" s="346">
        <v>0.05</v>
      </c>
      <c r="F42" s="346">
        <v>0.1</v>
      </c>
      <c r="G42" s="480" t="s">
        <v>1808</v>
      </c>
      <c r="H42" s="481" t="s">
        <v>1926</v>
      </c>
      <c r="AH42" s="436"/>
      <c r="AI42" s="436"/>
      <c r="AJ42" s="434"/>
      <c r="AK42" s="462"/>
      <c r="AL42" s="462"/>
      <c r="AM42" s="463"/>
      <c r="AN42" s="414"/>
      <c r="AO42" s="414"/>
    </row>
    <row r="43" spans="2:41" x14ac:dyDescent="0.3">
      <c r="B43" s="668"/>
      <c r="C43" s="484"/>
      <c r="D43" s="484"/>
      <c r="E43" s="485"/>
      <c r="F43" s="485"/>
      <c r="G43" s="484"/>
      <c r="H43" s="421"/>
      <c r="J43" s="486"/>
      <c r="AH43" s="487" t="s">
        <v>1922</v>
      </c>
      <c r="AI43" s="488" t="s">
        <v>1898</v>
      </c>
      <c r="AJ43" s="488" t="s">
        <v>1465</v>
      </c>
      <c r="AK43" s="488" t="s">
        <v>1710</v>
      </c>
      <c r="AL43" s="488" t="s">
        <v>1711</v>
      </c>
      <c r="AM43" s="488" t="s">
        <v>1638</v>
      </c>
      <c r="AN43" s="489" t="s">
        <v>1796</v>
      </c>
      <c r="AO43" s="414"/>
    </row>
    <row r="44" spans="2:41" ht="14.25" customHeight="1" x14ac:dyDescent="0.3">
      <c r="B44" s="668"/>
      <c r="C44" s="595" t="s">
        <v>1803</v>
      </c>
      <c r="D44" s="595" t="s">
        <v>1816</v>
      </c>
      <c r="E44" s="347">
        <v>7.7</v>
      </c>
      <c r="F44" s="347">
        <v>15.6</v>
      </c>
      <c r="G44" s="541" t="s">
        <v>1657</v>
      </c>
      <c r="H44" s="432" t="s">
        <v>1970</v>
      </c>
      <c r="AH44" s="579" t="s">
        <v>1928</v>
      </c>
      <c r="AI44" s="670" t="s">
        <v>1904</v>
      </c>
      <c r="AJ44" s="474" t="s">
        <v>1905</v>
      </c>
      <c r="AK44" s="453">
        <v>0.36</v>
      </c>
      <c r="AL44" s="453">
        <v>0.33</v>
      </c>
      <c r="AM44" s="474"/>
      <c r="AN44" s="683" t="s">
        <v>1906</v>
      </c>
      <c r="AO44" s="414"/>
    </row>
    <row r="45" spans="2:41" ht="26.25" customHeight="1" x14ac:dyDescent="0.3">
      <c r="B45" s="668"/>
      <c r="C45" s="595"/>
      <c r="D45" s="595"/>
      <c r="E45" s="347">
        <f>E44/3.6</f>
        <v>2.1388888888888888</v>
      </c>
      <c r="F45" s="347">
        <f>F44/3.6</f>
        <v>4.333333333333333</v>
      </c>
      <c r="G45" s="436" t="s">
        <v>1806</v>
      </c>
      <c r="H45" s="345"/>
      <c r="AH45" s="580"/>
      <c r="AI45" s="671"/>
      <c r="AJ45" s="456" t="s">
        <v>1908</v>
      </c>
      <c r="AK45" s="456">
        <v>20</v>
      </c>
      <c r="AL45" s="456">
        <v>20</v>
      </c>
      <c r="AM45" s="456" t="s">
        <v>1700</v>
      </c>
      <c r="AN45" s="684"/>
      <c r="AO45" s="414"/>
    </row>
    <row r="46" spans="2:41" x14ac:dyDescent="0.3">
      <c r="B46" s="668"/>
      <c r="C46" s="425"/>
      <c r="D46" s="425"/>
      <c r="E46" s="356"/>
      <c r="F46" s="356"/>
      <c r="G46" s="436"/>
      <c r="H46" s="345"/>
      <c r="AH46" s="580"/>
      <c r="AI46" s="671"/>
      <c r="AJ46" s="456" t="s">
        <v>1911</v>
      </c>
      <c r="AK46" s="457">
        <v>0.26</v>
      </c>
      <c r="AL46" s="457">
        <v>0.26</v>
      </c>
      <c r="AM46" s="436" t="s">
        <v>1912</v>
      </c>
      <c r="AN46" s="684"/>
      <c r="AO46" s="414"/>
    </row>
    <row r="47" spans="2:41" ht="27" customHeight="1" x14ac:dyDescent="0.3">
      <c r="B47" s="668"/>
      <c r="C47" s="350" t="s">
        <v>1683</v>
      </c>
      <c r="D47" s="350"/>
      <c r="E47" s="416">
        <f>E45*E42</f>
        <v>0.10694444444444445</v>
      </c>
      <c r="F47" s="416">
        <f>F45*F42</f>
        <v>0.43333333333333335</v>
      </c>
      <c r="G47" s="350" t="s">
        <v>1881</v>
      </c>
      <c r="H47" s="432"/>
      <c r="AH47" s="580"/>
      <c r="AI47" s="671"/>
      <c r="AJ47" s="456" t="s">
        <v>1921</v>
      </c>
      <c r="AK47" s="457">
        <v>2</v>
      </c>
      <c r="AL47" s="457">
        <v>2</v>
      </c>
      <c r="AM47" s="436" t="s">
        <v>1913</v>
      </c>
      <c r="AN47" s="684"/>
      <c r="AO47" s="414"/>
    </row>
    <row r="48" spans="2:41" ht="14.25" customHeight="1" x14ac:dyDescent="0.3">
      <c r="B48" s="669"/>
      <c r="C48" s="458"/>
      <c r="D48" s="354"/>
      <c r="E48" s="459"/>
      <c r="F48" s="459"/>
      <c r="G48" s="458"/>
      <c r="H48" s="417"/>
      <c r="AH48" s="580"/>
      <c r="AI48" s="671"/>
      <c r="AJ48" s="676" t="s">
        <v>1914</v>
      </c>
      <c r="AK48" s="457">
        <f>AK45/AK44</f>
        <v>55.555555555555557</v>
      </c>
      <c r="AL48" s="457">
        <f>AL45/AL44</f>
        <v>60.606060606060602</v>
      </c>
      <c r="AM48" s="456" t="s">
        <v>1700</v>
      </c>
      <c r="AN48" s="684"/>
      <c r="AO48" s="414"/>
    </row>
    <row r="49" spans="2:40" ht="25.5" customHeight="1" x14ac:dyDescent="0.3">
      <c r="AH49" s="580"/>
      <c r="AI49" s="671"/>
      <c r="AJ49" s="676"/>
      <c r="AK49" s="457">
        <f>AK48/AK46</f>
        <v>213.67521367521368</v>
      </c>
      <c r="AL49" s="457">
        <f>AL48/AL46</f>
        <v>233.10023310023308</v>
      </c>
      <c r="AM49" s="456" t="s">
        <v>1915</v>
      </c>
      <c r="AN49" s="684"/>
    </row>
    <row r="50" spans="2:40" x14ac:dyDescent="0.3">
      <c r="J50" s="486"/>
      <c r="AH50" s="581"/>
      <c r="AI50" s="686"/>
      <c r="AJ50" s="687"/>
      <c r="AK50" s="470">
        <f>(AK47*AK49)/1000</f>
        <v>0.42735042735042739</v>
      </c>
      <c r="AL50" s="470">
        <f>(AL47*AL49)/1000</f>
        <v>0.46620046620046618</v>
      </c>
      <c r="AM50" s="471" t="s">
        <v>1916</v>
      </c>
      <c r="AN50" s="685"/>
    </row>
    <row r="51" spans="2:40" ht="14.25" customHeight="1" x14ac:dyDescent="0.3">
      <c r="B51" s="464" t="s">
        <v>1637</v>
      </c>
      <c r="C51" s="465" t="s">
        <v>1465</v>
      </c>
      <c r="D51" s="465" t="s">
        <v>1444</v>
      </c>
      <c r="E51" s="466" t="s">
        <v>1710</v>
      </c>
      <c r="F51" s="466" t="s">
        <v>1711</v>
      </c>
      <c r="G51" s="465" t="s">
        <v>1638</v>
      </c>
      <c r="H51" s="467" t="s">
        <v>1796</v>
      </c>
      <c r="AH51" s="436"/>
      <c r="AI51" s="436"/>
      <c r="AJ51" s="436"/>
      <c r="AK51" s="436"/>
      <c r="AL51" s="436"/>
      <c r="AM51" s="436"/>
      <c r="AN51" s="414"/>
    </row>
    <row r="52" spans="2:40" ht="52.95" customHeight="1" x14ac:dyDescent="0.3">
      <c r="B52" s="667" t="s">
        <v>1929</v>
      </c>
      <c r="C52" s="479" t="s">
        <v>1805</v>
      </c>
      <c r="D52" s="479" t="s">
        <v>1804</v>
      </c>
      <c r="E52" s="346">
        <v>0.05</v>
      </c>
      <c r="F52" s="346">
        <v>0.1</v>
      </c>
      <c r="G52" s="480" t="s">
        <v>1808</v>
      </c>
      <c r="H52" s="481" t="s">
        <v>1926</v>
      </c>
      <c r="AH52" s="436"/>
      <c r="AI52" s="436"/>
      <c r="AJ52" s="436"/>
      <c r="AK52" s="436"/>
      <c r="AL52" s="436"/>
      <c r="AM52" s="436"/>
      <c r="AN52" s="414"/>
    </row>
    <row r="53" spans="2:40" x14ac:dyDescent="0.3">
      <c r="B53" s="668"/>
      <c r="C53" s="484"/>
      <c r="D53" s="484"/>
      <c r="E53" s="485"/>
      <c r="F53" s="485"/>
      <c r="G53" s="484"/>
      <c r="H53" s="421"/>
    </row>
    <row r="54" spans="2:40" x14ac:dyDescent="0.3">
      <c r="B54" s="668"/>
      <c r="C54" s="595" t="s">
        <v>1889</v>
      </c>
      <c r="D54" s="595"/>
      <c r="E54" s="347">
        <v>8.4</v>
      </c>
      <c r="F54" s="347">
        <v>9.1</v>
      </c>
      <c r="G54" s="541" t="s">
        <v>1657</v>
      </c>
      <c r="H54" s="679" t="s">
        <v>1970</v>
      </c>
    </row>
    <row r="55" spans="2:40" ht="31.5" customHeight="1" x14ac:dyDescent="0.3">
      <c r="B55" s="668"/>
      <c r="C55" s="595"/>
      <c r="D55" s="595"/>
      <c r="E55" s="347">
        <f>E54/3.6</f>
        <v>2.3333333333333335</v>
      </c>
      <c r="F55" s="347">
        <f>F54/3.6</f>
        <v>2.5277777777777777</v>
      </c>
      <c r="G55" s="436" t="s">
        <v>1806</v>
      </c>
      <c r="H55" s="679"/>
    </row>
    <row r="56" spans="2:40" x14ac:dyDescent="0.3">
      <c r="B56" s="668"/>
      <c r="C56" s="425"/>
      <c r="D56" s="425"/>
      <c r="E56" s="347"/>
      <c r="F56" s="347"/>
      <c r="G56" s="436"/>
      <c r="H56" s="345"/>
    </row>
    <row r="57" spans="2:40" x14ac:dyDescent="0.3">
      <c r="B57" s="668"/>
      <c r="C57" s="350" t="s">
        <v>1890</v>
      </c>
      <c r="D57" s="350"/>
      <c r="E57" s="416">
        <f>E55*E52</f>
        <v>0.11666666666666668</v>
      </c>
      <c r="F57" s="416">
        <f>F55*F52</f>
        <v>0.25277777777777777</v>
      </c>
      <c r="G57" s="350" t="s">
        <v>1881</v>
      </c>
      <c r="H57" s="345"/>
    </row>
    <row r="58" spans="2:40" x14ac:dyDescent="0.3">
      <c r="B58" s="668"/>
      <c r="C58" s="425"/>
      <c r="D58" s="425"/>
      <c r="E58" s="347"/>
      <c r="F58" s="347"/>
      <c r="G58" s="436"/>
      <c r="H58" s="345"/>
    </row>
    <row r="59" spans="2:40" ht="30" customHeight="1" x14ac:dyDescent="0.3">
      <c r="B59" s="668"/>
      <c r="C59" s="595" t="s">
        <v>1891</v>
      </c>
      <c r="D59" s="595"/>
      <c r="E59" s="347">
        <v>10.5</v>
      </c>
      <c r="F59" s="347">
        <v>21</v>
      </c>
      <c r="G59" s="541" t="s">
        <v>1657</v>
      </c>
      <c r="H59" s="679" t="s">
        <v>1970</v>
      </c>
    </row>
    <row r="60" spans="2:40" x14ac:dyDescent="0.3">
      <c r="B60" s="668"/>
      <c r="C60" s="595"/>
      <c r="D60" s="595"/>
      <c r="E60" s="347">
        <f>E59/3.6</f>
        <v>2.9166666666666665</v>
      </c>
      <c r="F60" s="347">
        <f>F59/3.6</f>
        <v>5.833333333333333</v>
      </c>
      <c r="G60" s="541" t="s">
        <v>1806</v>
      </c>
      <c r="H60" s="679"/>
    </row>
    <row r="61" spans="2:40" x14ac:dyDescent="0.3">
      <c r="B61" s="668"/>
      <c r="C61" s="425"/>
      <c r="D61" s="425"/>
      <c r="E61" s="347"/>
      <c r="F61" s="347"/>
      <c r="G61" s="436"/>
      <c r="H61" s="345"/>
    </row>
    <row r="62" spans="2:40" x14ac:dyDescent="0.3">
      <c r="B62" s="668"/>
      <c r="C62" s="350" t="s">
        <v>1892</v>
      </c>
      <c r="D62" s="350"/>
      <c r="E62" s="416">
        <f>E60*E52</f>
        <v>0.14583333333333334</v>
      </c>
      <c r="F62" s="416">
        <f>F60*F52</f>
        <v>0.58333333333333337</v>
      </c>
      <c r="G62" s="350" t="s">
        <v>1881</v>
      </c>
      <c r="H62" s="432"/>
    </row>
    <row r="63" spans="2:40" x14ac:dyDescent="0.3">
      <c r="B63" s="669"/>
      <c r="C63" s="458"/>
      <c r="D63" s="354"/>
      <c r="E63" s="459"/>
      <c r="F63" s="459"/>
      <c r="G63" s="458"/>
      <c r="H63" s="417"/>
    </row>
    <row r="66" spans="2:8" x14ac:dyDescent="0.3">
      <c r="B66" s="464" t="s">
        <v>1637</v>
      </c>
      <c r="C66" s="465" t="s">
        <v>1465</v>
      </c>
      <c r="D66" s="465" t="s">
        <v>1444</v>
      </c>
      <c r="E66" s="466" t="s">
        <v>1710</v>
      </c>
      <c r="F66" s="466" t="s">
        <v>1711</v>
      </c>
      <c r="G66" s="465" t="s">
        <v>1638</v>
      </c>
      <c r="H66" s="467" t="s">
        <v>1796</v>
      </c>
    </row>
    <row r="67" spans="2:8" ht="14.25" customHeight="1" x14ac:dyDescent="0.3">
      <c r="B67" s="667" t="s">
        <v>1818</v>
      </c>
      <c r="C67" s="490"/>
      <c r="D67" s="490"/>
      <c r="E67" s="491"/>
      <c r="F67" s="491"/>
      <c r="G67" s="490"/>
      <c r="H67" s="422"/>
    </row>
    <row r="68" spans="2:8" ht="55.2" x14ac:dyDescent="0.3">
      <c r="B68" s="668"/>
      <c r="C68" s="425" t="s">
        <v>1829</v>
      </c>
      <c r="D68" s="425" t="s">
        <v>1893</v>
      </c>
      <c r="E68" s="423">
        <f>E16</f>
        <v>0.11485574207825563</v>
      </c>
      <c r="F68" s="423">
        <f>F16</f>
        <v>0.2177164216855926</v>
      </c>
      <c r="G68" s="350" t="s">
        <v>1881</v>
      </c>
      <c r="H68" s="481" t="s">
        <v>1926</v>
      </c>
    </row>
    <row r="69" spans="2:8" ht="55.2" x14ac:dyDescent="0.3">
      <c r="B69" s="668"/>
      <c r="C69" s="425"/>
      <c r="D69" s="425" t="s">
        <v>1894</v>
      </c>
      <c r="E69" s="423">
        <f>E17</f>
        <v>0.13782689049390676</v>
      </c>
      <c r="F69" s="423">
        <f>F17</f>
        <v>0.30480299035982961</v>
      </c>
      <c r="G69" s="350" t="s">
        <v>1881</v>
      </c>
      <c r="H69" s="420"/>
    </row>
    <row r="70" spans="2:8" x14ac:dyDescent="0.3">
      <c r="B70" s="669"/>
      <c r="C70" s="428"/>
      <c r="D70" s="492"/>
      <c r="E70" s="353"/>
      <c r="F70" s="353"/>
      <c r="G70" s="354"/>
      <c r="H70" s="349"/>
    </row>
    <row r="82" spans="10:10" ht="62.25" customHeight="1" x14ac:dyDescent="0.3"/>
    <row r="85" spans="10:10" x14ac:dyDescent="0.3">
      <c r="J85" s="486"/>
    </row>
    <row r="87" spans="10:10" x14ac:dyDescent="0.3">
      <c r="J87" s="486"/>
    </row>
    <row r="89" spans="10:10" ht="27" customHeight="1" x14ac:dyDescent="0.3"/>
    <row r="90" spans="10:10" ht="41.7" customHeight="1" x14ac:dyDescent="0.3"/>
  </sheetData>
  <mergeCells count="63">
    <mergeCell ref="AH44:AH50"/>
    <mergeCell ref="AI44:AI50"/>
    <mergeCell ref="AN44:AN50"/>
    <mergeCell ref="AJ48:AJ50"/>
    <mergeCell ref="AH21:AH41"/>
    <mergeCell ref="AI21:AI27"/>
    <mergeCell ref="AN21:AN41"/>
    <mergeCell ref="H22:H23"/>
    <mergeCell ref="AJ25:AJ27"/>
    <mergeCell ref="AI28:AI34"/>
    <mergeCell ref="AJ32:AJ34"/>
    <mergeCell ref="AI35:AI41"/>
    <mergeCell ref="AJ39:AJ41"/>
    <mergeCell ref="AB22:AB23"/>
    <mergeCell ref="T25:T26"/>
    <mergeCell ref="AA25:AA26"/>
    <mergeCell ref="AB25:AB26"/>
    <mergeCell ref="K22:K23"/>
    <mergeCell ref="L22:L23"/>
    <mergeCell ref="S22:S23"/>
    <mergeCell ref="K25:K26"/>
    <mergeCell ref="L25:L26"/>
    <mergeCell ref="S25:S26"/>
    <mergeCell ref="AH3:AN3"/>
    <mergeCell ref="AH5:AH18"/>
    <mergeCell ref="AI5:AI11"/>
    <mergeCell ref="AN5:AN18"/>
    <mergeCell ref="AJ9:AJ11"/>
    <mergeCell ref="AI12:AI18"/>
    <mergeCell ref="AJ16:AJ18"/>
    <mergeCell ref="B67:B70"/>
    <mergeCell ref="B52:B63"/>
    <mergeCell ref="C54:C55"/>
    <mergeCell ref="D54:D55"/>
    <mergeCell ref="H54:H55"/>
    <mergeCell ref="C59:C60"/>
    <mergeCell ref="D59:D60"/>
    <mergeCell ref="H59:H60"/>
    <mergeCell ref="B42:B48"/>
    <mergeCell ref="C44:C45"/>
    <mergeCell ref="D44:D45"/>
    <mergeCell ref="B22:B29"/>
    <mergeCell ref="C22:C23"/>
    <mergeCell ref="D22:D23"/>
    <mergeCell ref="B33:B38"/>
    <mergeCell ref="J21:J27"/>
    <mergeCell ref="R21:R27"/>
    <mergeCell ref="Z21:Z27"/>
    <mergeCell ref="T22:T23"/>
    <mergeCell ref="AA22:AA23"/>
    <mergeCell ref="B3:H3"/>
    <mergeCell ref="J3:P3"/>
    <mergeCell ref="R3:X3"/>
    <mergeCell ref="Z3:AF3"/>
    <mergeCell ref="B5:B18"/>
    <mergeCell ref="C5:C6"/>
    <mergeCell ref="J5:J10"/>
    <mergeCell ref="R5:R10"/>
    <mergeCell ref="J13:J18"/>
    <mergeCell ref="R13:R18"/>
    <mergeCell ref="S13:X18"/>
    <mergeCell ref="Z13:Z18"/>
    <mergeCell ref="AA13:AF18"/>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42"/>
  <sheetViews>
    <sheetView workbookViewId="0">
      <selection sqref="A1:C1"/>
    </sheetView>
  </sheetViews>
  <sheetFormatPr defaultColWidth="8.88671875" defaultRowHeight="14.4" x14ac:dyDescent="0.3"/>
  <cols>
    <col min="1" max="1" width="18" customWidth="1"/>
    <col min="3" max="3" width="23.44140625" customWidth="1"/>
    <col min="4" max="4" width="17.44140625" customWidth="1"/>
    <col min="5" max="5" width="22.109375" customWidth="1"/>
    <col min="6" max="6" width="26.33203125" customWidth="1"/>
    <col min="7" max="7" width="22.44140625" customWidth="1"/>
    <col min="8" max="8" width="24.6640625" customWidth="1"/>
    <col min="9" max="10" width="28.6640625" customWidth="1"/>
  </cols>
  <sheetData>
    <row r="1" spans="1:10" s="25" customFormat="1" ht="59.25" customHeight="1" x14ac:dyDescent="0.3">
      <c r="A1" s="692" t="s">
        <v>1417</v>
      </c>
      <c r="B1" s="693"/>
      <c r="C1" s="693"/>
      <c r="D1" s="398" t="s">
        <v>1400</v>
      </c>
      <c r="E1" s="399" t="s">
        <v>1415</v>
      </c>
      <c r="F1" s="399" t="s">
        <v>1458</v>
      </c>
      <c r="G1" s="399" t="s">
        <v>1416</v>
      </c>
      <c r="H1" s="399" t="s">
        <v>1459</v>
      </c>
      <c r="I1" s="399" t="s">
        <v>1460</v>
      </c>
      <c r="J1" s="400" t="s">
        <v>1461</v>
      </c>
    </row>
    <row r="2" spans="1:10" ht="15" customHeight="1" x14ac:dyDescent="0.3">
      <c r="A2" s="690" t="s">
        <v>1418</v>
      </c>
      <c r="B2" s="690"/>
      <c r="C2" s="690"/>
      <c r="D2" s="1" t="s">
        <v>1401</v>
      </c>
      <c r="E2" s="372">
        <v>25.41</v>
      </c>
      <c r="F2" s="309">
        <v>50</v>
      </c>
      <c r="G2" s="372">
        <f t="shared" ref="G2:G16" si="0">F2*0.16</f>
        <v>8</v>
      </c>
      <c r="H2" s="372">
        <f t="shared" ref="H2:H16" si="1">G2*16.7</f>
        <v>133.6</v>
      </c>
      <c r="I2" s="79">
        <f>H2/E2</f>
        <v>5.2577725304998033</v>
      </c>
      <c r="J2" s="395">
        <f>1/I2</f>
        <v>0.1901946107784431</v>
      </c>
    </row>
    <row r="3" spans="1:10" x14ac:dyDescent="0.3">
      <c r="A3" s="690"/>
      <c r="B3" s="690"/>
      <c r="C3" s="690"/>
      <c r="D3" s="1" t="s">
        <v>1402</v>
      </c>
      <c r="E3" s="372">
        <v>25.55</v>
      </c>
      <c r="F3" s="309">
        <v>50</v>
      </c>
      <c r="G3" s="372">
        <f t="shared" si="0"/>
        <v>8</v>
      </c>
      <c r="H3" s="372">
        <f t="shared" si="1"/>
        <v>133.6</v>
      </c>
      <c r="I3" s="79">
        <f t="shared" ref="I3:I16" si="2">H3/E3</f>
        <v>5.2289628180039136</v>
      </c>
      <c r="J3" s="395">
        <f t="shared" ref="J3:J14" si="3">1/I3</f>
        <v>0.1912425149700599</v>
      </c>
    </row>
    <row r="4" spans="1:10" x14ac:dyDescent="0.3">
      <c r="A4" s="690"/>
      <c r="B4" s="690"/>
      <c r="C4" s="690"/>
      <c r="D4" s="1" t="s">
        <v>1403</v>
      </c>
      <c r="E4" s="372">
        <v>26.76</v>
      </c>
      <c r="F4" s="309">
        <v>50</v>
      </c>
      <c r="G4" s="372">
        <f t="shared" si="0"/>
        <v>8</v>
      </c>
      <c r="H4" s="372">
        <f t="shared" si="1"/>
        <v>133.6</v>
      </c>
      <c r="I4" s="79">
        <f t="shared" si="2"/>
        <v>4.9925261584454406</v>
      </c>
      <c r="J4" s="395">
        <f t="shared" si="3"/>
        <v>0.20029940119760481</v>
      </c>
    </row>
    <row r="5" spans="1:10" x14ac:dyDescent="0.3">
      <c r="A5" s="690"/>
      <c r="B5" s="690"/>
      <c r="C5" s="690"/>
      <c r="D5" s="1" t="s">
        <v>1404</v>
      </c>
      <c r="E5" s="372">
        <v>21.92</v>
      </c>
      <c r="F5" s="309">
        <v>55</v>
      </c>
      <c r="G5" s="372">
        <f t="shared" si="0"/>
        <v>8.8000000000000007</v>
      </c>
      <c r="H5" s="372">
        <f t="shared" si="1"/>
        <v>146.96</v>
      </c>
      <c r="I5" s="79">
        <f t="shared" si="2"/>
        <v>6.7043795620437958</v>
      </c>
      <c r="J5" s="395">
        <f t="shared" si="3"/>
        <v>0.14915623298856831</v>
      </c>
    </row>
    <row r="6" spans="1:10" x14ac:dyDescent="0.3">
      <c r="A6" s="690"/>
      <c r="B6" s="690"/>
      <c r="C6" s="690"/>
      <c r="D6" s="1" t="s">
        <v>1405</v>
      </c>
      <c r="E6" s="372">
        <v>22.22</v>
      </c>
      <c r="F6" s="309">
        <v>45</v>
      </c>
      <c r="G6" s="372">
        <f t="shared" si="0"/>
        <v>7.2</v>
      </c>
      <c r="H6" s="372">
        <f t="shared" si="1"/>
        <v>120.24</v>
      </c>
      <c r="I6" s="79">
        <f t="shared" si="2"/>
        <v>5.4113411341134112</v>
      </c>
      <c r="J6" s="395">
        <f t="shared" si="3"/>
        <v>0.18479707252162342</v>
      </c>
    </row>
    <row r="7" spans="1:10" x14ac:dyDescent="0.3">
      <c r="A7" s="690"/>
      <c r="B7" s="690"/>
      <c r="C7" s="690"/>
      <c r="D7" s="1" t="s">
        <v>1406</v>
      </c>
      <c r="E7" s="372">
        <v>21.32</v>
      </c>
      <c r="F7" s="309">
        <v>45</v>
      </c>
      <c r="G7" s="372">
        <f t="shared" si="0"/>
        <v>7.2</v>
      </c>
      <c r="H7" s="372">
        <f t="shared" si="1"/>
        <v>120.24</v>
      </c>
      <c r="I7" s="79">
        <f t="shared" si="2"/>
        <v>5.639774859287054</v>
      </c>
      <c r="J7" s="395">
        <f t="shared" si="3"/>
        <v>0.17731204258150368</v>
      </c>
    </row>
    <row r="8" spans="1:10" x14ac:dyDescent="0.3">
      <c r="A8" s="690"/>
      <c r="B8" s="690"/>
      <c r="C8" s="690"/>
      <c r="D8" s="1" t="s">
        <v>1407</v>
      </c>
      <c r="E8" s="372">
        <v>23.81</v>
      </c>
      <c r="F8" s="309">
        <v>50</v>
      </c>
      <c r="G8" s="372">
        <f t="shared" si="0"/>
        <v>8</v>
      </c>
      <c r="H8" s="372">
        <f t="shared" si="1"/>
        <v>133.6</v>
      </c>
      <c r="I8" s="79">
        <f t="shared" si="2"/>
        <v>5.6110877782444355</v>
      </c>
      <c r="J8" s="395">
        <f t="shared" si="3"/>
        <v>0.17821856287425147</v>
      </c>
    </row>
    <row r="9" spans="1:10" x14ac:dyDescent="0.3">
      <c r="A9" s="690"/>
      <c r="B9" s="690"/>
      <c r="C9" s="690"/>
      <c r="D9" s="1" t="s">
        <v>1408</v>
      </c>
      <c r="E9" s="372">
        <v>23.88</v>
      </c>
      <c r="F9" s="309">
        <v>50</v>
      </c>
      <c r="G9" s="372">
        <f t="shared" si="0"/>
        <v>8</v>
      </c>
      <c r="H9" s="372">
        <f t="shared" si="1"/>
        <v>133.6</v>
      </c>
      <c r="I9" s="79">
        <f t="shared" si="2"/>
        <v>5.5946398659966503</v>
      </c>
      <c r="J9" s="395">
        <f t="shared" si="3"/>
        <v>0.17874251497005986</v>
      </c>
    </row>
    <row r="10" spans="1:10" x14ac:dyDescent="0.3">
      <c r="A10" s="690"/>
      <c r="B10" s="690"/>
      <c r="C10" s="690"/>
      <c r="D10" s="1" t="s">
        <v>1409</v>
      </c>
      <c r="E10" s="372">
        <v>19.100000000000001</v>
      </c>
      <c r="F10" s="309">
        <v>50</v>
      </c>
      <c r="G10" s="372">
        <f t="shared" si="0"/>
        <v>8</v>
      </c>
      <c r="H10" s="372">
        <f t="shared" si="1"/>
        <v>133.6</v>
      </c>
      <c r="I10" s="79">
        <f t="shared" si="2"/>
        <v>6.9947643979057581</v>
      </c>
      <c r="J10" s="395">
        <f t="shared" si="3"/>
        <v>0.14296407185628746</v>
      </c>
    </row>
    <row r="11" spans="1:10" x14ac:dyDescent="0.3">
      <c r="A11" s="690"/>
      <c r="B11" s="690"/>
      <c r="C11" s="690"/>
      <c r="D11" s="1" t="s">
        <v>1410</v>
      </c>
      <c r="E11" s="372">
        <v>19.02</v>
      </c>
      <c r="F11" s="309">
        <v>60</v>
      </c>
      <c r="G11" s="372">
        <f t="shared" si="0"/>
        <v>9.6</v>
      </c>
      <c r="H11" s="372">
        <f t="shared" si="1"/>
        <v>160.32</v>
      </c>
      <c r="I11" s="79">
        <f t="shared" si="2"/>
        <v>8.4290220820189266</v>
      </c>
      <c r="J11" s="395">
        <f t="shared" si="3"/>
        <v>0.11863772455089822</v>
      </c>
    </row>
    <row r="12" spans="1:10" x14ac:dyDescent="0.3">
      <c r="A12" s="690"/>
      <c r="B12" s="690"/>
      <c r="C12" s="690"/>
      <c r="D12" s="1" t="s">
        <v>1411</v>
      </c>
      <c r="E12" s="372">
        <v>15.97</v>
      </c>
      <c r="F12" s="309">
        <v>60</v>
      </c>
      <c r="G12" s="372">
        <f t="shared" si="0"/>
        <v>9.6</v>
      </c>
      <c r="H12" s="372">
        <f t="shared" si="1"/>
        <v>160.32</v>
      </c>
      <c r="I12" s="79">
        <f t="shared" si="2"/>
        <v>10.038822792736379</v>
      </c>
      <c r="J12" s="395">
        <f t="shared" si="3"/>
        <v>9.9613273453093829E-2</v>
      </c>
    </row>
    <row r="13" spans="1:10" x14ac:dyDescent="0.3">
      <c r="A13" s="690"/>
      <c r="B13" s="690"/>
      <c r="C13" s="690"/>
      <c r="D13" s="1" t="s">
        <v>1412</v>
      </c>
      <c r="E13" s="372">
        <v>15.64</v>
      </c>
      <c r="F13" s="309">
        <v>60</v>
      </c>
      <c r="G13" s="372">
        <f t="shared" si="0"/>
        <v>9.6</v>
      </c>
      <c r="H13" s="372">
        <f t="shared" si="1"/>
        <v>160.32</v>
      </c>
      <c r="I13" s="79">
        <f t="shared" si="2"/>
        <v>10.250639386189258</v>
      </c>
      <c r="J13" s="395">
        <f t="shared" si="3"/>
        <v>9.7554890219560875E-2</v>
      </c>
    </row>
    <row r="14" spans="1:10" x14ac:dyDescent="0.3">
      <c r="A14" s="690"/>
      <c r="B14" s="690"/>
      <c r="C14" s="690"/>
      <c r="D14" s="1" t="s">
        <v>1413</v>
      </c>
      <c r="E14" s="372">
        <v>18.95</v>
      </c>
      <c r="F14" s="309">
        <v>34</v>
      </c>
      <c r="G14" s="372">
        <f t="shared" si="0"/>
        <v>5.44</v>
      </c>
      <c r="H14" s="372">
        <f t="shared" si="1"/>
        <v>90.847999999999999</v>
      </c>
      <c r="I14" s="79">
        <f t="shared" si="2"/>
        <v>4.7940897097625328</v>
      </c>
      <c r="J14" s="395">
        <f t="shared" si="3"/>
        <v>0.2085901725959845</v>
      </c>
    </row>
    <row r="15" spans="1:10" ht="15" customHeight="1" x14ac:dyDescent="0.3">
      <c r="A15" s="691" t="s">
        <v>1419</v>
      </c>
      <c r="B15" s="691"/>
      <c r="C15" s="691"/>
      <c r="D15" s="1" t="s">
        <v>1398</v>
      </c>
      <c r="E15" s="309">
        <f>MEDIAN(15,19)</f>
        <v>17</v>
      </c>
      <c r="F15" s="372">
        <f>69.8*0.95</f>
        <v>66.309999999999988</v>
      </c>
      <c r="G15" s="372">
        <f t="shared" si="0"/>
        <v>10.609599999999999</v>
      </c>
      <c r="H15" s="372">
        <f t="shared" si="1"/>
        <v>177.18031999999997</v>
      </c>
      <c r="I15" s="79">
        <f t="shared" si="2"/>
        <v>10.422371764705881</v>
      </c>
      <c r="J15" s="395">
        <f>1/I15</f>
        <v>9.5947450597222095E-2</v>
      </c>
    </row>
    <row r="16" spans="1:10" x14ac:dyDescent="0.3">
      <c r="A16" s="691"/>
      <c r="B16" s="691"/>
      <c r="C16" s="691"/>
      <c r="D16" s="1" t="s">
        <v>1399</v>
      </c>
      <c r="E16" s="372">
        <f>MEDIAN(10,11)</f>
        <v>10.5</v>
      </c>
      <c r="F16" s="372">
        <f>72.2*0.95</f>
        <v>68.59</v>
      </c>
      <c r="G16" s="372">
        <f t="shared" si="0"/>
        <v>10.974400000000001</v>
      </c>
      <c r="H16" s="372">
        <f t="shared" si="1"/>
        <v>183.27248</v>
      </c>
      <c r="I16" s="79">
        <f t="shared" si="2"/>
        <v>17.454521904761904</v>
      </c>
      <c r="J16" s="395">
        <f>1/I16</f>
        <v>5.7291743965051385E-2</v>
      </c>
    </row>
    <row r="17" spans="1:11" x14ac:dyDescent="0.3">
      <c r="A17" s="691" t="s">
        <v>1844</v>
      </c>
      <c r="B17" s="691"/>
      <c r="C17" s="691"/>
      <c r="D17" s="397" t="s">
        <v>1845</v>
      </c>
      <c r="E17" s="396">
        <v>28</v>
      </c>
      <c r="F17" s="396">
        <v>48</v>
      </c>
      <c r="G17" s="557">
        <v>7.71</v>
      </c>
      <c r="H17" s="557">
        <v>128.68</v>
      </c>
      <c r="I17" s="556">
        <v>4.62</v>
      </c>
      <c r="J17" s="555">
        <v>0.21640000000000001</v>
      </c>
    </row>
    <row r="21" spans="1:11" x14ac:dyDescent="0.3">
      <c r="I21" s="74" t="s">
        <v>1414</v>
      </c>
      <c r="J21" s="558">
        <f>MEDIAN(J2:J17)</f>
        <v>0.17776530272787758</v>
      </c>
    </row>
    <row r="22" spans="1:11" x14ac:dyDescent="0.3">
      <c r="I22" s="74" t="s">
        <v>1397</v>
      </c>
      <c r="J22" s="558">
        <f>PERCENTILE(J2:J17,30%)</f>
        <v>0.13080089820359284</v>
      </c>
    </row>
    <row r="23" spans="1:11" x14ac:dyDescent="0.3">
      <c r="I23" s="74" t="s">
        <v>1347</v>
      </c>
      <c r="J23" s="558">
        <f>PERCENTILE(J2:J17,70%)</f>
        <v>0.18749584165003325</v>
      </c>
    </row>
    <row r="25" spans="1:11" x14ac:dyDescent="0.3">
      <c r="E25" s="76"/>
      <c r="F25" s="54"/>
      <c r="G25" s="54"/>
      <c r="H25" s="3"/>
      <c r="I25" s="71"/>
      <c r="K25" s="4"/>
    </row>
    <row r="32" spans="1:11" x14ac:dyDescent="0.3">
      <c r="I32" s="71"/>
      <c r="J32" s="4"/>
    </row>
    <row r="42" spans="10:10" x14ac:dyDescent="0.3">
      <c r="J42" s="559"/>
    </row>
  </sheetData>
  <mergeCells count="4">
    <mergeCell ref="A2:C14"/>
    <mergeCell ref="A15:C16"/>
    <mergeCell ref="A1:C1"/>
    <mergeCell ref="A17:C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PV Solar Farms (S1A)</vt:lpstr>
      <vt:lpstr>Concentrated Solar Power (S1B)</vt:lpstr>
      <vt:lpstr>Direct Air Capture CO2 (S1C)</vt:lpstr>
      <vt:lpstr>Energy of SCP Cultivation (S1D)</vt:lpstr>
      <vt:lpstr>FAO Crop Yields (S1E)</vt:lpstr>
      <vt:lpstr>Crop Energy Efficiency (S1F)</vt:lpstr>
      <vt:lpstr>SCP Cost Estimation (S1G)</vt:lpstr>
      <vt:lpstr>Sugar Beet Cultivation (S1H)</vt:lpstr>
    </vt:vector>
  </TitlesOfParts>
  <Company>MPI of Molecular Plant Physiology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Leger</dc:creator>
  <cp:lastModifiedBy>Leger, Dorian</cp:lastModifiedBy>
  <dcterms:created xsi:type="dcterms:W3CDTF">2019-01-12T13:43:06Z</dcterms:created>
  <dcterms:modified xsi:type="dcterms:W3CDTF">2021-11-25T21:43:21Z</dcterms:modified>
</cp:coreProperties>
</file>